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AlishaAshley\Downloads\FTEs\"/>
    </mc:Choice>
  </mc:AlternateContent>
  <xr:revisionPtr revIDLastSave="0" documentId="13_ncr:1_{7802BAD4-7931-4ECF-A2C5-284F6A0C57B1}" xr6:coauthVersionLast="47" xr6:coauthVersionMax="47" xr10:uidLastSave="{00000000-0000-0000-0000-000000000000}"/>
  <bookViews>
    <workbookView xWindow="-120" yWindow="-120" windowWidth="29040" windowHeight="17640" tabRatio="792" activeTab="1" xr2:uid="{00000000-000D-0000-FFFF-FFFF00000000}"/>
  </bookViews>
  <sheets>
    <sheet name="Index" sheetId="30" r:id="rId1"/>
    <sheet name="Ave weight 2019-2020" sheetId="40" r:id="rId2"/>
    <sheet name="Ave weight 2018-2019" sheetId="36" r:id="rId3"/>
    <sheet name="DEEWR2010Table4.1" sheetId="8" r:id="rId4"/>
    <sheet name="NZ EFT08-2011" sheetId="16" r:id="rId5"/>
    <sheet name="NZ EFT.35 2006-13" sheetId="19" r:id="rId6"/>
    <sheet name="EFT2006-13(NZ)" sheetId="21" r:id="rId7"/>
    <sheet name="Tbl 9 1996" sheetId="29" r:id="rId8"/>
    <sheet name="Tbl 49 2001" sheetId="28" r:id="rId9"/>
    <sheet name="Tbl 37 2002" sheetId="27" r:id="rId10"/>
    <sheet name="Tbl 35 2003" sheetId="26" r:id="rId11"/>
    <sheet name="Tbl 35 2004" sheetId="25" r:id="rId12"/>
    <sheet name="Tbl 35 2005" sheetId="24" r:id="rId13"/>
    <sheet name="Tbl 35 2006" sheetId="23" r:id="rId14"/>
    <sheet name="Tbl 35 2007" sheetId="22" r:id="rId15"/>
    <sheet name="Tbl 35 2008" sheetId="14" r:id="rId16"/>
    <sheet name="Tbl 4.1 2009" sheetId="13" r:id="rId17"/>
    <sheet name="Table 4.1 2010" sheetId="11" r:id="rId18"/>
    <sheet name="Table 4.1 2011" sheetId="18" r:id="rId19"/>
    <sheet name="Table 4.1 2012 " sheetId="17" r:id="rId20"/>
    <sheet name="Table 4.1 2013" sheetId="31" r:id="rId21"/>
    <sheet name="Table 4.1 2016" sheetId="32" r:id="rId22"/>
    <sheet name="Table 4.1 2017" sheetId="33" r:id="rId23"/>
    <sheet name="Table 4.1 2018" sheetId="34" r:id="rId24"/>
    <sheet name="Table 4.1 2019" sheetId="35" r:id="rId25"/>
    <sheet name="Table 4.1 2020" sheetId="39" r:id="rId26"/>
  </sheets>
  <definedNames>
    <definedName name="_AMO_UniqueIdentifier" localSheetId="21" hidden="1">"'b4567c59-7663-4ba8-9e36-749596bbc2b0'"</definedName>
    <definedName name="_AMO_UniqueIdentifier" localSheetId="22" hidden="1">"'b4567c59-7663-4ba8-9e36-749596bbc2b0'"</definedName>
    <definedName name="_AMO_UniqueIdentifier" localSheetId="23" hidden="1">"'b4567c59-7663-4ba8-9e36-749596bbc2b0'"</definedName>
    <definedName name="_AMO_UniqueIdentifier" hidden="1">"'1c6a5eb6-fdf7-4d33-97c3-a95593e84eef'"</definedName>
    <definedName name="_xlnm._FilterDatabase" localSheetId="2" hidden="1">'Ave weight 2018-2019'!$A$2:$D$2</definedName>
    <definedName name="_xlnm._FilterDatabase" localSheetId="1" hidden="1">'Ave weight 2019-2020'!$A$2:$D$2</definedName>
    <definedName name="_xlnm._FilterDatabase" localSheetId="17" hidden="1">'Table 4.1 2010'!$B$4:$V$4</definedName>
    <definedName name="_xlnm._FilterDatabase" localSheetId="18" hidden="1">'Table 4.1 2011'!$A$4:$T$4</definedName>
    <definedName name="_xlnm._FilterDatabase" localSheetId="19" hidden="1">'Table 4.1 2012 '!$B$4:$T$4</definedName>
    <definedName name="_xlnm._FilterDatabase" localSheetId="20" hidden="1">'Table 4.1 2013'!$A$4:$M$4</definedName>
    <definedName name="_xlnm._FilterDatabase" localSheetId="21" hidden="1">'Table 4.1 2016'!$A$4:$M$4</definedName>
    <definedName name="_xlnm._FilterDatabase" localSheetId="22" hidden="1">'Table 4.1 2017'!$A$4:$M$4</definedName>
    <definedName name="_xlnm._FilterDatabase" localSheetId="23" hidden="1">'Table 4.1 2018'!$A$4:$M$4</definedName>
    <definedName name="_xlnm._FilterDatabase" localSheetId="24" hidden="1">'Table 4.1 2019'!$A$4:$M$4</definedName>
    <definedName name="_xlnm._FilterDatabase" localSheetId="25" hidden="1">'Table 4.1 2020'!$A$4:$M$4</definedName>
    <definedName name="_xlnm._FilterDatabase" localSheetId="10" hidden="1">'Tbl 35 2003'!$A$3:$S$3</definedName>
    <definedName name="_xlnm._FilterDatabase" localSheetId="11" hidden="1">'Tbl 35 2004'!$A$3:$S$3</definedName>
    <definedName name="_xlnm._FilterDatabase" localSheetId="12" hidden="1">'Tbl 35 2005'!$A$3:$T$3</definedName>
    <definedName name="_xlnm._FilterDatabase" localSheetId="13" hidden="1">'Tbl 35 2006'!$A$3:$T$3</definedName>
    <definedName name="_xlnm._FilterDatabase" localSheetId="14" hidden="1">'Tbl 35 2007'!$A$3:$V$3</definedName>
    <definedName name="_xlnm._FilterDatabase" localSheetId="15" hidden="1">'Tbl 35 2008'!$B$3:$W$3</definedName>
    <definedName name="_xlnm._FilterDatabase" localSheetId="9" hidden="1">'Tbl 37 2002'!$A$3:$S$3</definedName>
    <definedName name="_xlnm._FilterDatabase" localSheetId="16" hidden="1">'Tbl 4.1 2009'!$A$4:$X$4</definedName>
    <definedName name="_xlnm._FilterDatabase" localSheetId="8" hidden="1">'Tbl 49 2001'!$A$3:$U$3</definedName>
    <definedName name="_xlnm._FilterDatabase" localSheetId="7" hidden="1">'Tbl 9 1996'!$A$3:$O$3</definedName>
    <definedName name="ALL" localSheetId="6">#REF!</definedName>
    <definedName name="ALL" localSheetId="5">#REF!</definedName>
    <definedName name="ALL" localSheetId="20">#REF!</definedName>
    <definedName name="ALL" localSheetId="22">#REF!</definedName>
    <definedName name="ALL" localSheetId="23">#REF!</definedName>
    <definedName name="ALL">#REF!</definedName>
    <definedName name="IDX" localSheetId="10">'Tbl 35 2003'!#REF!</definedName>
    <definedName name="IDX" localSheetId="11">'Tbl 35 2004'!#REF!</definedName>
    <definedName name="IDX" localSheetId="9">'Tbl 37 2002'!#REF!</definedName>
    <definedName name="IDX" localSheetId="8">'Tbl 49 2001'!#REF!</definedName>
    <definedName name="ONE" localSheetId="6">#REF!</definedName>
    <definedName name="ONE" localSheetId="5">#REF!</definedName>
    <definedName name="ONE" localSheetId="20">#REF!</definedName>
    <definedName name="ONE" localSheetId="22">#REF!</definedName>
    <definedName name="ONE" localSheetId="23">#REF!</definedName>
    <definedName name="ONE">#REF!</definedName>
    <definedName name="_xlnm.Print_Area" localSheetId="3">DEEWR2010Table4.1!$A$1:$N$80</definedName>
    <definedName name="_xlnm.Print_Area" localSheetId="17">'Table 4.1 2010'!$A$1:$N$51</definedName>
    <definedName name="_xlnm.Print_Area" localSheetId="18">'Table 4.1 2011'!$A$1:$L$46</definedName>
    <definedName name="_xlnm.Print_Area" localSheetId="19">'Table 4.1 2012 '!$A$1:$L$45</definedName>
    <definedName name="_xlnm.Print_Area" localSheetId="20">'Table 4.1 2013'!$A$1:$M$43</definedName>
    <definedName name="_xlnm.Print_Area" localSheetId="21">'Table 4.1 2016'!$A$1:$M$47</definedName>
    <definedName name="_xlnm.Print_Area" localSheetId="22">'Table 4.1 2017'!$A$1:$M$47</definedName>
    <definedName name="_xlnm.Print_Area" localSheetId="23">'Table 4.1 2018'!$A$1:$M$47</definedName>
    <definedName name="_xlnm.Print_Area" localSheetId="10">'Tbl 35 2003'!$A$2:$O$26</definedName>
    <definedName name="_xlnm.Print_Area" localSheetId="11">'Tbl 35 2004'!$A$2:$O$32</definedName>
    <definedName name="_xlnm.Print_Area" localSheetId="12">'Tbl 35 2005'!$A$1:$P$45</definedName>
    <definedName name="_xlnm.Print_Area" localSheetId="9">'Tbl 37 2002'!$2:$47</definedName>
    <definedName name="_xlnm.Print_Area" localSheetId="16">'Tbl 4.1 2009'!$A$1:$P$46</definedName>
    <definedName name="_xlnm.Print_Area" localSheetId="8">'Tbl 49 2001'!$A$2:$O$46</definedName>
    <definedName name="_xlnm.Print_Titles" localSheetId="3">DEEWR2010Table4.1!$2:$4</definedName>
    <definedName name="_xlnm.Print_Titles" localSheetId="17">'Table 4.1 2010'!$2:$4</definedName>
    <definedName name="_xlnm.Print_Titles" localSheetId="18">'Table 4.1 2011'!$2:$4</definedName>
    <definedName name="_xlnm.Print_Titles" localSheetId="19">'Table 4.1 2012 '!$2:$4</definedName>
    <definedName name="_xlnm.Print_Titles" localSheetId="20">'Table 4.1 2013'!$2:$4</definedName>
    <definedName name="_xlnm.Print_Titles" localSheetId="21">'Table 4.1 2016'!$2:$4</definedName>
    <definedName name="_xlnm.Print_Titles" localSheetId="22">'Table 4.1 2017'!$2:$4</definedName>
    <definedName name="_xlnm.Print_Titles" localSheetId="23">'Table 4.1 2018'!$2:$4</definedName>
    <definedName name="_xlnm.Print_Titles" localSheetId="16">'Tbl 4.1 2009'!$2:$4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40" l="1"/>
  <c r="B48" i="40"/>
  <c r="B47" i="40"/>
  <c r="D47" i="40" s="1"/>
  <c r="B46" i="40"/>
  <c r="D46" i="40" s="1"/>
  <c r="B45" i="40"/>
  <c r="B44" i="40"/>
  <c r="B43" i="40"/>
  <c r="D43" i="40" s="1"/>
  <c r="B42" i="40"/>
  <c r="B41" i="40"/>
  <c r="B40" i="40"/>
  <c r="B39" i="40"/>
  <c r="B38" i="40"/>
  <c r="D38" i="40" s="1"/>
  <c r="B37" i="40"/>
  <c r="B36" i="40"/>
  <c r="B35" i="40"/>
  <c r="D35" i="40" s="1"/>
  <c r="B34" i="40"/>
  <c r="B33" i="40"/>
  <c r="B32" i="40"/>
  <c r="D32" i="40" s="1"/>
  <c r="B31" i="40"/>
  <c r="B30" i="40"/>
  <c r="B29" i="40"/>
  <c r="B28" i="40"/>
  <c r="D28" i="40" s="1"/>
  <c r="B27" i="40"/>
  <c r="B26" i="40"/>
  <c r="B25" i="40"/>
  <c r="B24" i="40"/>
  <c r="B23" i="40"/>
  <c r="B22" i="40"/>
  <c r="D22" i="40" s="1"/>
  <c r="B21" i="40"/>
  <c r="D21" i="40" s="1"/>
  <c r="B20" i="40"/>
  <c r="B19" i="40"/>
  <c r="B18" i="40"/>
  <c r="B17" i="40"/>
  <c r="B16" i="40"/>
  <c r="B15" i="40"/>
  <c r="B14" i="40"/>
  <c r="D14" i="40" s="1"/>
  <c r="B13" i="40"/>
  <c r="B12" i="40"/>
  <c r="B11" i="40"/>
  <c r="B10" i="40"/>
  <c r="B9" i="40"/>
  <c r="D9" i="40" s="1"/>
  <c r="B8" i="40"/>
  <c r="B7" i="40"/>
  <c r="B6" i="40"/>
  <c r="B5" i="40"/>
  <c r="B4" i="40"/>
  <c r="B3" i="40"/>
  <c r="D3" i="40" s="1"/>
  <c r="C49" i="40"/>
  <c r="C48" i="40"/>
  <c r="C47" i="40"/>
  <c r="C46" i="40"/>
  <c r="C45" i="40"/>
  <c r="C44" i="40"/>
  <c r="C43" i="40"/>
  <c r="C42" i="40"/>
  <c r="C41" i="40"/>
  <c r="C40" i="40"/>
  <c r="C39" i="40"/>
  <c r="C38" i="40"/>
  <c r="C37" i="40"/>
  <c r="D37" i="40" s="1"/>
  <c r="C36" i="40"/>
  <c r="C35" i="40"/>
  <c r="C34" i="40"/>
  <c r="C33" i="40"/>
  <c r="C32" i="40"/>
  <c r="C31" i="40"/>
  <c r="C30" i="40"/>
  <c r="C29" i="40"/>
  <c r="C28" i="40"/>
  <c r="C27" i="40"/>
  <c r="D27" i="40" s="1"/>
  <c r="C26" i="40"/>
  <c r="C25" i="40"/>
  <c r="C24" i="40"/>
  <c r="C23" i="40"/>
  <c r="C22" i="40"/>
  <c r="C21" i="40"/>
  <c r="C20" i="40"/>
  <c r="C19" i="40"/>
  <c r="D19" i="40" s="1"/>
  <c r="C18" i="40"/>
  <c r="C17" i="40"/>
  <c r="C16" i="40"/>
  <c r="C15" i="40"/>
  <c r="C14" i="40"/>
  <c r="C13" i="40"/>
  <c r="C12" i="40"/>
  <c r="C11" i="40"/>
  <c r="C10" i="40"/>
  <c r="C9" i="40"/>
  <c r="C8" i="40"/>
  <c r="C7" i="40"/>
  <c r="C6" i="40"/>
  <c r="C5" i="40"/>
  <c r="C4" i="40"/>
  <c r="C3" i="40"/>
  <c r="D45" i="40"/>
  <c r="D31" i="40"/>
  <c r="D26" i="40"/>
  <c r="D15" i="40"/>
  <c r="D12" i="40"/>
  <c r="D10" i="40"/>
  <c r="D8" i="40"/>
  <c r="D7" i="40"/>
  <c r="R49" i="39"/>
  <c r="R57" i="39" s="1"/>
  <c r="Q49" i="39"/>
  <c r="T57" i="39"/>
  <c r="S57" i="39"/>
  <c r="Q57" i="39"/>
  <c r="P57" i="39"/>
  <c r="O57" i="39"/>
  <c r="N57" i="39"/>
  <c r="M57" i="39"/>
  <c r="M59" i="39" s="1"/>
  <c r="O5" i="39"/>
  <c r="N5" i="39"/>
  <c r="C47" i="39"/>
  <c r="D47" i="39"/>
  <c r="E47" i="39"/>
  <c r="F47" i="39"/>
  <c r="G47" i="39"/>
  <c r="H47" i="39"/>
  <c r="I47" i="39"/>
  <c r="J47" i="39"/>
  <c r="K47" i="39"/>
  <c r="L47" i="39"/>
  <c r="M47" i="39"/>
  <c r="B47" i="39"/>
  <c r="B47" i="35"/>
  <c r="B45" i="39"/>
  <c r="C45" i="39"/>
  <c r="D45" i="39"/>
  <c r="E45" i="39"/>
  <c r="F45" i="39"/>
  <c r="G45" i="39"/>
  <c r="H45" i="39"/>
  <c r="I45" i="39"/>
  <c r="J45" i="39"/>
  <c r="K45" i="39"/>
  <c r="L45" i="39"/>
  <c r="M45" i="39"/>
  <c r="P5" i="39"/>
  <c r="C47" i="34"/>
  <c r="D47" i="34"/>
  <c r="E47" i="34"/>
  <c r="F47" i="34"/>
  <c r="G47" i="34"/>
  <c r="H47" i="34"/>
  <c r="I47" i="34"/>
  <c r="J47" i="34"/>
  <c r="K47" i="34"/>
  <c r="L47" i="34"/>
  <c r="M47" i="34"/>
  <c r="B47" i="34"/>
  <c r="B47" i="33"/>
  <c r="B45" i="35"/>
  <c r="C45" i="35"/>
  <c r="D45" i="35"/>
  <c r="E45" i="35"/>
  <c r="F45" i="35"/>
  <c r="G45" i="35"/>
  <c r="H45" i="35"/>
  <c r="I45" i="35"/>
  <c r="J45" i="35"/>
  <c r="K45" i="35"/>
  <c r="L45" i="35"/>
  <c r="M45" i="35"/>
  <c r="N45" i="35"/>
  <c r="O45" i="35"/>
  <c r="B45" i="34"/>
  <c r="C45" i="34"/>
  <c r="D45" i="34"/>
  <c r="E45" i="34"/>
  <c r="F45" i="34"/>
  <c r="G45" i="34"/>
  <c r="H45" i="34"/>
  <c r="I45" i="34"/>
  <c r="J45" i="34"/>
  <c r="K45" i="34"/>
  <c r="L45" i="34"/>
  <c r="M45" i="34"/>
  <c r="N45" i="34"/>
  <c r="O45" i="34"/>
  <c r="D49" i="40" l="1"/>
  <c r="D44" i="40"/>
  <c r="D42" i="40"/>
  <c r="D40" i="40"/>
  <c r="D39" i="40"/>
  <c r="D30" i="40"/>
  <c r="D23" i="40"/>
  <c r="D18" i="40"/>
  <c r="D17" i="40"/>
  <c r="D13" i="40"/>
  <c r="D11" i="40"/>
  <c r="D6" i="40"/>
  <c r="D5" i="40"/>
  <c r="D48" i="40"/>
  <c r="D41" i="40"/>
  <c r="D36" i="40"/>
  <c r="D34" i="40"/>
  <c r="D33" i="40"/>
  <c r="D29" i="40"/>
  <c r="D25" i="40"/>
  <c r="D24" i="40"/>
  <c r="D20" i="40"/>
  <c r="D16" i="40"/>
  <c r="D4" i="40"/>
  <c r="Q5" i="39"/>
  <c r="S56" i="39"/>
  <c r="T56" i="39" s="1"/>
  <c r="Q56" i="39"/>
  <c r="S55" i="39"/>
  <c r="T55" i="39" s="1"/>
  <c r="Q55" i="39"/>
  <c r="S54" i="39"/>
  <c r="T54" i="39" s="1"/>
  <c r="Q54" i="39"/>
  <c r="S53" i="39"/>
  <c r="T53" i="39" s="1"/>
  <c r="Q53" i="39"/>
  <c r="S52" i="39"/>
  <c r="T52" i="39" s="1"/>
  <c r="Q52" i="39"/>
  <c r="S51" i="39"/>
  <c r="T51" i="39" s="1"/>
  <c r="Q51" i="39"/>
  <c r="S50" i="39"/>
  <c r="T50" i="39" s="1"/>
  <c r="Q50" i="39"/>
  <c r="S49" i="39"/>
  <c r="T49" i="39" s="1"/>
  <c r="P43" i="39"/>
  <c r="S43" i="39" s="1"/>
  <c r="T43" i="39" s="1"/>
  <c r="O43" i="39"/>
  <c r="N43" i="39"/>
  <c r="P42" i="39"/>
  <c r="O42" i="39"/>
  <c r="N42" i="39"/>
  <c r="S42" i="39" s="1"/>
  <c r="T42" i="39" s="1"/>
  <c r="P41" i="39"/>
  <c r="O41" i="39"/>
  <c r="N41" i="39"/>
  <c r="P40" i="39"/>
  <c r="O40" i="39"/>
  <c r="N40" i="39"/>
  <c r="P39" i="39"/>
  <c r="O39" i="39"/>
  <c r="N39" i="39"/>
  <c r="S39" i="39" s="1"/>
  <c r="T39" i="39" s="1"/>
  <c r="S38" i="39"/>
  <c r="T38" i="39" s="1"/>
  <c r="P38" i="39"/>
  <c r="O38" i="39"/>
  <c r="N38" i="39"/>
  <c r="P37" i="39"/>
  <c r="O37" i="39"/>
  <c r="N37" i="39"/>
  <c r="Q37" i="39" s="1"/>
  <c r="Q36" i="39"/>
  <c r="P36" i="39"/>
  <c r="O36" i="39"/>
  <c r="N36" i="39"/>
  <c r="P35" i="39"/>
  <c r="S35" i="39" s="1"/>
  <c r="T35" i="39" s="1"/>
  <c r="O35" i="39"/>
  <c r="N35" i="39"/>
  <c r="P34" i="39"/>
  <c r="O34" i="39"/>
  <c r="N34" i="39"/>
  <c r="P33" i="39"/>
  <c r="O33" i="39"/>
  <c r="N33" i="39"/>
  <c r="Q33" i="39" s="1"/>
  <c r="P32" i="39"/>
  <c r="O32" i="39"/>
  <c r="N32" i="39"/>
  <c r="S32" i="39" s="1"/>
  <c r="T32" i="39" s="1"/>
  <c r="P31" i="39"/>
  <c r="O31" i="39"/>
  <c r="N31" i="39"/>
  <c r="P30" i="39"/>
  <c r="S30" i="39" s="1"/>
  <c r="T30" i="39" s="1"/>
  <c r="O30" i="39"/>
  <c r="N30" i="39"/>
  <c r="S29" i="39"/>
  <c r="T29" i="39" s="1"/>
  <c r="P29" i="39"/>
  <c r="O29" i="39"/>
  <c r="N29" i="39"/>
  <c r="P28" i="39"/>
  <c r="Q28" i="39" s="1"/>
  <c r="O28" i="39"/>
  <c r="N28" i="39"/>
  <c r="P27" i="39"/>
  <c r="S27" i="39" s="1"/>
  <c r="T27" i="39" s="1"/>
  <c r="O27" i="39"/>
  <c r="N27" i="39"/>
  <c r="P26" i="39"/>
  <c r="O26" i="39"/>
  <c r="N26" i="39"/>
  <c r="P25" i="39"/>
  <c r="O25" i="39"/>
  <c r="N25" i="39"/>
  <c r="Q25" i="39" s="1"/>
  <c r="P24" i="39"/>
  <c r="O24" i="39"/>
  <c r="N24" i="39"/>
  <c r="P23" i="39"/>
  <c r="O23" i="39"/>
  <c r="N23" i="39"/>
  <c r="P22" i="39"/>
  <c r="O22" i="39"/>
  <c r="N22" i="39"/>
  <c r="S21" i="39"/>
  <c r="T21" i="39" s="1"/>
  <c r="P21" i="39"/>
  <c r="O21" i="39"/>
  <c r="N21" i="39"/>
  <c r="P20" i="39"/>
  <c r="O20" i="39"/>
  <c r="N20" i="39"/>
  <c r="Q20" i="39" s="1"/>
  <c r="P19" i="39"/>
  <c r="S19" i="39" s="1"/>
  <c r="T19" i="39" s="1"/>
  <c r="O19" i="39"/>
  <c r="N19" i="39"/>
  <c r="P18" i="39"/>
  <c r="O18" i="39"/>
  <c r="N18" i="39"/>
  <c r="P17" i="39"/>
  <c r="O17" i="39"/>
  <c r="N17" i="39"/>
  <c r="P16" i="39"/>
  <c r="O16" i="39"/>
  <c r="N16" i="39"/>
  <c r="P15" i="39"/>
  <c r="O15" i="39"/>
  <c r="N15" i="39"/>
  <c r="P14" i="39"/>
  <c r="O14" i="39"/>
  <c r="N14" i="39"/>
  <c r="S14" i="39" s="1"/>
  <c r="T14" i="39" s="1"/>
  <c r="P13" i="39"/>
  <c r="O13" i="39"/>
  <c r="N13" i="39"/>
  <c r="P12" i="39"/>
  <c r="O12" i="39"/>
  <c r="N12" i="39"/>
  <c r="Q12" i="39" s="1"/>
  <c r="P11" i="39"/>
  <c r="O11" i="39"/>
  <c r="N11" i="39"/>
  <c r="P10" i="39"/>
  <c r="O10" i="39"/>
  <c r="N10" i="39"/>
  <c r="P9" i="39"/>
  <c r="O9" i="39"/>
  <c r="N9" i="39"/>
  <c r="P8" i="39"/>
  <c r="O8" i="39"/>
  <c r="N8" i="39"/>
  <c r="P7" i="39"/>
  <c r="O7" i="39"/>
  <c r="N7" i="39"/>
  <c r="P6" i="39"/>
  <c r="O6" i="39"/>
  <c r="N6" i="39"/>
  <c r="Q6" i="39" s="1"/>
  <c r="S5" i="39"/>
  <c r="R5" i="35"/>
  <c r="Q5" i="35"/>
  <c r="N5" i="35"/>
  <c r="B3" i="36"/>
  <c r="S7" i="39" l="1"/>
  <c r="T7" i="39" s="1"/>
  <c r="S12" i="39"/>
  <c r="T12" i="39" s="1"/>
  <c r="Q26" i="39"/>
  <c r="Q38" i="39"/>
  <c r="O45" i="39"/>
  <c r="O59" i="39" s="1"/>
  <c r="S17" i="39"/>
  <c r="T17" i="39" s="1"/>
  <c r="S24" i="39"/>
  <c r="T24" i="39" s="1"/>
  <c r="Q29" i="39"/>
  <c r="S31" i="39"/>
  <c r="T31" i="39" s="1"/>
  <c r="S36" i="39"/>
  <c r="T36" i="39" s="1"/>
  <c r="P45" i="39"/>
  <c r="P59" i="39" s="1"/>
  <c r="S10" i="39"/>
  <c r="T10" i="39" s="1"/>
  <c r="Q22" i="39"/>
  <c r="S34" i="39"/>
  <c r="T34" i="39" s="1"/>
  <c r="S41" i="39"/>
  <c r="T41" i="39" s="1"/>
  <c r="Q8" i="39"/>
  <c r="Q13" i="39"/>
  <c r="S15" i="39"/>
  <c r="T15" i="39" s="1"/>
  <c r="S20" i="39"/>
  <c r="T20" i="39" s="1"/>
  <c r="Q34" i="39"/>
  <c r="S18" i="39"/>
  <c r="T18" i="39" s="1"/>
  <c r="S22" i="39"/>
  <c r="T22" i="39" s="1"/>
  <c r="Q30" i="39"/>
  <c r="S9" i="39"/>
  <c r="T9" i="39" s="1"/>
  <c r="S11" i="39"/>
  <c r="T11" i="39" s="1"/>
  <c r="S13" i="39"/>
  <c r="T13" i="39" s="1"/>
  <c r="S16" i="39"/>
  <c r="T16" i="39" s="1"/>
  <c r="Q21" i="39"/>
  <c r="S23" i="39"/>
  <c r="T23" i="39" s="1"/>
  <c r="S28" i="39"/>
  <c r="T28" i="39" s="1"/>
  <c r="S6" i="39"/>
  <c r="T6" i="39" s="1"/>
  <c r="Q14" i="39"/>
  <c r="S26" i="39"/>
  <c r="T26" i="39" s="1"/>
  <c r="S37" i="39"/>
  <c r="T37" i="39" s="1"/>
  <c r="S40" i="39"/>
  <c r="T40" i="39" s="1"/>
  <c r="Q11" i="39"/>
  <c r="Q19" i="39"/>
  <c r="Q27" i="39"/>
  <c r="Q35" i="39"/>
  <c r="Q43" i="39"/>
  <c r="T5" i="39"/>
  <c r="Q10" i="39"/>
  <c r="Q18" i="39"/>
  <c r="Q42" i="39"/>
  <c r="Q24" i="39"/>
  <c r="Q32" i="39"/>
  <c r="Q40" i="39"/>
  <c r="Q9" i="39"/>
  <c r="Q17" i="39"/>
  <c r="Q41" i="39"/>
  <c r="Q16" i="39"/>
  <c r="Q7" i="39"/>
  <c r="Q15" i="39"/>
  <c r="Q23" i="39"/>
  <c r="S25" i="39"/>
  <c r="T25" i="39" s="1"/>
  <c r="Q31" i="39"/>
  <c r="S33" i="39"/>
  <c r="T33" i="39" s="1"/>
  <c r="Q39" i="39"/>
  <c r="N45" i="39"/>
  <c r="N59" i="39" s="1"/>
  <c r="S8" i="39"/>
  <c r="T8" i="39" s="1"/>
  <c r="M59" i="35"/>
  <c r="S45" i="39" l="1"/>
  <c r="Q45" i="39"/>
  <c r="R33" i="39" s="1"/>
  <c r="S59" i="39"/>
  <c r="T45" i="39"/>
  <c r="T59" i="39" s="1"/>
  <c r="C47" i="35"/>
  <c r="R5" i="39" l="1"/>
  <c r="R53" i="39"/>
  <c r="R9" i="39"/>
  <c r="R14" i="39"/>
  <c r="R31" i="39"/>
  <c r="R25" i="39"/>
  <c r="R43" i="39"/>
  <c r="R19" i="39"/>
  <c r="R40" i="39"/>
  <c r="R39" i="39"/>
  <c r="R27" i="39"/>
  <c r="R21" i="39"/>
  <c r="R55" i="39"/>
  <c r="R23" i="39"/>
  <c r="R12" i="39"/>
  <c r="R7" i="39"/>
  <c r="R30" i="39"/>
  <c r="R41" i="39"/>
  <c r="R35" i="39"/>
  <c r="R34" i="39"/>
  <c r="R16" i="39"/>
  <c r="R10" i="39"/>
  <c r="R17" i="39"/>
  <c r="R38" i="39"/>
  <c r="R52" i="39"/>
  <c r="R15" i="39"/>
  <c r="R13" i="39"/>
  <c r="R54" i="39"/>
  <c r="R29" i="39"/>
  <c r="R42" i="39"/>
  <c r="R11" i="39"/>
  <c r="R22" i="39"/>
  <c r="R32" i="39"/>
  <c r="R24" i="39"/>
  <c r="R18" i="39"/>
  <c r="R26" i="39"/>
  <c r="R6" i="39"/>
  <c r="R8" i="39"/>
  <c r="R51" i="39"/>
  <c r="R20" i="39"/>
  <c r="R50" i="39"/>
  <c r="Q59" i="39"/>
  <c r="R56" i="39"/>
  <c r="R36" i="39"/>
  <c r="R28" i="39"/>
  <c r="R37" i="39"/>
  <c r="B49" i="36"/>
  <c r="B47" i="36"/>
  <c r="B42" i="36"/>
  <c r="B48" i="36"/>
  <c r="B39" i="36"/>
  <c r="B27" i="36"/>
  <c r="B34" i="36"/>
  <c r="B25" i="36"/>
  <c r="B21" i="36"/>
  <c r="B43" i="36"/>
  <c r="B35" i="36"/>
  <c r="B32" i="36"/>
  <c r="B17" i="36"/>
  <c r="B31" i="36"/>
  <c r="B41" i="36"/>
  <c r="B30" i="36"/>
  <c r="B29" i="36"/>
  <c r="B28" i="36"/>
  <c r="B38" i="36"/>
  <c r="B26" i="36"/>
  <c r="B24" i="36"/>
  <c r="B45" i="36"/>
  <c r="B36" i="36"/>
  <c r="B20" i="36"/>
  <c r="B37" i="36"/>
  <c r="B33" i="36"/>
  <c r="B22" i="36"/>
  <c r="B19" i="36"/>
  <c r="B11" i="36"/>
  <c r="B9" i="36"/>
  <c r="B18" i="36"/>
  <c r="B8" i="36"/>
  <c r="B15" i="36"/>
  <c r="B6" i="36"/>
  <c r="B40" i="36"/>
  <c r="B13" i="36"/>
  <c r="B16" i="36"/>
  <c r="B46" i="36"/>
  <c r="B7" i="36"/>
  <c r="B23" i="36"/>
  <c r="B10" i="36"/>
  <c r="B44" i="36"/>
  <c r="B12" i="36"/>
  <c r="B4" i="36"/>
  <c r="B5" i="36"/>
  <c r="B14" i="36"/>
  <c r="P57" i="35"/>
  <c r="O57" i="35"/>
  <c r="N57" i="35"/>
  <c r="M57" i="35"/>
  <c r="T56" i="35"/>
  <c r="S56" i="35"/>
  <c r="Q56" i="35"/>
  <c r="T55" i="35"/>
  <c r="S55" i="35"/>
  <c r="Q55" i="35"/>
  <c r="T54" i="35"/>
  <c r="S54" i="35"/>
  <c r="Q54" i="35"/>
  <c r="T53" i="35"/>
  <c r="S53" i="35"/>
  <c r="Q53" i="35"/>
  <c r="T52" i="35"/>
  <c r="S52" i="35"/>
  <c r="Q52" i="35"/>
  <c r="T51" i="35"/>
  <c r="S51" i="35"/>
  <c r="Q51" i="35"/>
  <c r="T50" i="35"/>
  <c r="S50" i="35"/>
  <c r="Q50" i="35"/>
  <c r="T49" i="35"/>
  <c r="T57" i="35" s="1"/>
  <c r="S49" i="35"/>
  <c r="S57" i="35" s="1"/>
  <c r="Q49" i="35"/>
  <c r="J47" i="35"/>
  <c r="F47" i="35"/>
  <c r="M47" i="35"/>
  <c r="L47" i="35"/>
  <c r="K47" i="35"/>
  <c r="I47" i="35"/>
  <c r="H47" i="35"/>
  <c r="G47" i="35"/>
  <c r="E47" i="35"/>
  <c r="D47" i="35"/>
  <c r="P43" i="35"/>
  <c r="O43" i="35"/>
  <c r="N43" i="35"/>
  <c r="P42" i="35"/>
  <c r="O42" i="35"/>
  <c r="N42" i="35"/>
  <c r="Q42" i="35" s="1"/>
  <c r="P41" i="35"/>
  <c r="O41" i="35"/>
  <c r="N41" i="35"/>
  <c r="P40" i="35"/>
  <c r="O40" i="35"/>
  <c r="N40" i="35"/>
  <c r="P39" i="35"/>
  <c r="O39" i="35"/>
  <c r="N39" i="35"/>
  <c r="P38" i="35"/>
  <c r="O38" i="35"/>
  <c r="N38" i="35"/>
  <c r="Q38" i="35" s="1"/>
  <c r="P37" i="35"/>
  <c r="O37" i="35"/>
  <c r="N37" i="35"/>
  <c r="S37" i="35" s="1"/>
  <c r="T37" i="35" s="1"/>
  <c r="P36" i="35"/>
  <c r="O36" i="35"/>
  <c r="N36" i="35"/>
  <c r="S36" i="35" s="1"/>
  <c r="T36" i="35" s="1"/>
  <c r="P35" i="35"/>
  <c r="O35" i="35"/>
  <c r="N35" i="35"/>
  <c r="P34" i="35"/>
  <c r="O34" i="35"/>
  <c r="N34" i="35"/>
  <c r="Q34" i="35" s="1"/>
  <c r="P33" i="35"/>
  <c r="O33" i="35"/>
  <c r="N33" i="35"/>
  <c r="S33" i="35" s="1"/>
  <c r="T33" i="35" s="1"/>
  <c r="P32" i="35"/>
  <c r="O32" i="35"/>
  <c r="N32" i="35"/>
  <c r="S32" i="35" s="1"/>
  <c r="T32" i="35" s="1"/>
  <c r="P31" i="35"/>
  <c r="O31" i="35"/>
  <c r="N31" i="35"/>
  <c r="P30" i="35"/>
  <c r="O30" i="35"/>
  <c r="N30" i="35"/>
  <c r="P29" i="35"/>
  <c r="O29" i="35"/>
  <c r="N29" i="35"/>
  <c r="S29" i="35" s="1"/>
  <c r="T29" i="35" s="1"/>
  <c r="P28" i="35"/>
  <c r="O28" i="35"/>
  <c r="N28" i="35"/>
  <c r="P27" i="35"/>
  <c r="O27" i="35"/>
  <c r="N27" i="35"/>
  <c r="S27" i="35" s="1"/>
  <c r="T27" i="35" s="1"/>
  <c r="P26" i="35"/>
  <c r="O26" i="35"/>
  <c r="N26" i="35"/>
  <c r="P25" i="35"/>
  <c r="Q25" i="35" s="1"/>
  <c r="O25" i="35"/>
  <c r="N25" i="35"/>
  <c r="P24" i="35"/>
  <c r="O24" i="35"/>
  <c r="N24" i="35"/>
  <c r="P23" i="35"/>
  <c r="O23" i="35"/>
  <c r="N23" i="35"/>
  <c r="P22" i="35"/>
  <c r="O22" i="35"/>
  <c r="N22" i="35"/>
  <c r="Q22" i="35" s="1"/>
  <c r="P21" i="35"/>
  <c r="O21" i="35"/>
  <c r="N21" i="35"/>
  <c r="S21" i="35" s="1"/>
  <c r="T21" i="35" s="1"/>
  <c r="P20" i="35"/>
  <c r="O20" i="35"/>
  <c r="N20" i="35"/>
  <c r="P19" i="35"/>
  <c r="O19" i="35"/>
  <c r="S19" i="35" s="1"/>
  <c r="T19" i="35" s="1"/>
  <c r="N19" i="35"/>
  <c r="P18" i="35"/>
  <c r="O18" i="35"/>
  <c r="N18" i="35"/>
  <c r="P17" i="35"/>
  <c r="O17" i="35"/>
  <c r="N17" i="35"/>
  <c r="S17" i="35" s="1"/>
  <c r="T17" i="35" s="1"/>
  <c r="P16" i="35"/>
  <c r="O16" i="35"/>
  <c r="N16" i="35"/>
  <c r="S16" i="35" s="1"/>
  <c r="T16" i="35" s="1"/>
  <c r="P15" i="35"/>
  <c r="O15" i="35"/>
  <c r="N15" i="35"/>
  <c r="P14" i="35"/>
  <c r="O14" i="35"/>
  <c r="N14" i="35"/>
  <c r="P13" i="35"/>
  <c r="O13" i="35"/>
  <c r="N13" i="35"/>
  <c r="P12" i="35"/>
  <c r="O12" i="35"/>
  <c r="N12" i="35"/>
  <c r="S12" i="35" s="1"/>
  <c r="T12" i="35" s="1"/>
  <c r="P11" i="35"/>
  <c r="O11" i="35"/>
  <c r="N11" i="35"/>
  <c r="P10" i="35"/>
  <c r="O10" i="35"/>
  <c r="N10" i="35"/>
  <c r="P9" i="35"/>
  <c r="Q9" i="35" s="1"/>
  <c r="O9" i="35"/>
  <c r="N9" i="35"/>
  <c r="P8" i="35"/>
  <c r="O8" i="35"/>
  <c r="N8" i="35"/>
  <c r="P7" i="35"/>
  <c r="O7" i="35"/>
  <c r="N7" i="35"/>
  <c r="Q7" i="35" s="1"/>
  <c r="P6" i="35"/>
  <c r="O6" i="35"/>
  <c r="N6" i="35"/>
  <c r="Q6" i="35" s="1"/>
  <c r="P5" i="35"/>
  <c r="O5" i="35"/>
  <c r="R45" i="39" l="1"/>
  <c r="S43" i="35"/>
  <c r="T43" i="35" s="1"/>
  <c r="S41" i="35"/>
  <c r="T41" i="35" s="1"/>
  <c r="S40" i="35"/>
  <c r="T40" i="35" s="1"/>
  <c r="S28" i="35"/>
  <c r="T28" i="35" s="1"/>
  <c r="Q27" i="35"/>
  <c r="Q23" i="35"/>
  <c r="Q21" i="35"/>
  <c r="Q20" i="35"/>
  <c r="Q18" i="35"/>
  <c r="Q13" i="35"/>
  <c r="Q11" i="35"/>
  <c r="S7" i="35"/>
  <c r="T7" i="35" s="1"/>
  <c r="S23" i="35"/>
  <c r="T23" i="35" s="1"/>
  <c r="Q24" i="35"/>
  <c r="S35" i="35"/>
  <c r="T35" i="35" s="1"/>
  <c r="Q36" i="35"/>
  <c r="Q37" i="35"/>
  <c r="Q39" i="35"/>
  <c r="N59" i="35"/>
  <c r="Q10" i="35"/>
  <c r="S11" i="35"/>
  <c r="T11" i="35" s="1"/>
  <c r="Q12" i="35"/>
  <c r="Q15" i="35"/>
  <c r="S20" i="35"/>
  <c r="T20" i="35" s="1"/>
  <c r="S25" i="35"/>
  <c r="T25" i="35" s="1"/>
  <c r="Q26" i="35"/>
  <c r="S39" i="35"/>
  <c r="T39" i="35" s="1"/>
  <c r="Q40" i="35"/>
  <c r="Q41" i="35"/>
  <c r="Q43" i="35"/>
  <c r="Q8" i="35"/>
  <c r="O59" i="35"/>
  <c r="S9" i="35"/>
  <c r="T9" i="35" s="1"/>
  <c r="P45" i="35"/>
  <c r="P59" i="35" s="1"/>
  <c r="S8" i="35"/>
  <c r="T8" i="35" s="1"/>
  <c r="S13" i="35"/>
  <c r="T13" i="35" s="1"/>
  <c r="Q14" i="35"/>
  <c r="S15" i="35"/>
  <c r="T15" i="35" s="1"/>
  <c r="Q16" i="35"/>
  <c r="Q17" i="35"/>
  <c r="Q19" i="35"/>
  <c r="S24" i="35"/>
  <c r="T24" i="35" s="1"/>
  <c r="Q28" i="35"/>
  <c r="Q29" i="35"/>
  <c r="Q31" i="35"/>
  <c r="Q30" i="35"/>
  <c r="S31" i="35"/>
  <c r="T31" i="35" s="1"/>
  <c r="Q32" i="35"/>
  <c r="Q33" i="35"/>
  <c r="Q35" i="35"/>
  <c r="S10" i="35"/>
  <c r="T10" i="35" s="1"/>
  <c r="S14" i="35"/>
  <c r="T14" i="35" s="1"/>
  <c r="S18" i="35"/>
  <c r="T18" i="35" s="1"/>
  <c r="S22" i="35"/>
  <c r="T22" i="35" s="1"/>
  <c r="S26" i="35"/>
  <c r="T26" i="35" s="1"/>
  <c r="S30" i="35"/>
  <c r="T30" i="35" s="1"/>
  <c r="S34" i="35"/>
  <c r="T34" i="35" s="1"/>
  <c r="S38" i="35"/>
  <c r="T38" i="35" s="1"/>
  <c r="S42" i="35"/>
  <c r="T42" i="35" s="1"/>
  <c r="Q57" i="35"/>
  <c r="S6" i="35"/>
  <c r="T6" i="35" s="1"/>
  <c r="S5" i="35"/>
  <c r="T49" i="31"/>
  <c r="S52" i="32"/>
  <c r="S51" i="32"/>
  <c r="S50" i="32"/>
  <c r="S49" i="32"/>
  <c r="R59" i="39" l="1"/>
  <c r="Q45" i="35"/>
  <c r="S45" i="35"/>
  <c r="S59" i="35" s="1"/>
  <c r="T5" i="35"/>
  <c r="T45" i="35" s="1"/>
  <c r="T59" i="35" s="1"/>
  <c r="S49" i="34"/>
  <c r="T52" i="34"/>
  <c r="T49" i="34"/>
  <c r="S49" i="33"/>
  <c r="T49" i="33"/>
  <c r="S56" i="33"/>
  <c r="Q56" i="33"/>
  <c r="S55" i="33"/>
  <c r="Q55" i="33"/>
  <c r="S54" i="33"/>
  <c r="Q54" i="33"/>
  <c r="S53" i="33"/>
  <c r="Q53" i="33"/>
  <c r="S52" i="33"/>
  <c r="Q52" i="33"/>
  <c r="S51" i="33"/>
  <c r="Q51" i="33"/>
  <c r="S50" i="33"/>
  <c r="Q49" i="33"/>
  <c r="S54" i="34"/>
  <c r="T54" i="34" s="1"/>
  <c r="Q54" i="34"/>
  <c r="S53" i="34"/>
  <c r="T53" i="34" s="1"/>
  <c r="Q53" i="34"/>
  <c r="S52" i="34"/>
  <c r="Q52" i="34"/>
  <c r="S51" i="34"/>
  <c r="T51" i="34" s="1"/>
  <c r="Q51" i="34"/>
  <c r="S50" i="34"/>
  <c r="T50" i="34" s="1"/>
  <c r="Q50" i="34"/>
  <c r="Q49" i="34"/>
  <c r="Q59" i="35" l="1"/>
  <c r="R20" i="35"/>
  <c r="R16" i="35"/>
  <c r="C13" i="36" s="1"/>
  <c r="R37" i="35"/>
  <c r="C25" i="36" s="1"/>
  <c r="D25" i="36" s="1"/>
  <c r="R14" i="35"/>
  <c r="C39" i="36" s="1"/>
  <c r="D39" i="36" s="1"/>
  <c r="R11" i="35"/>
  <c r="C16" i="36" s="1"/>
  <c r="D16" i="36" s="1"/>
  <c r="R7" i="35"/>
  <c r="C47" i="36" s="1"/>
  <c r="D47" i="36" s="1"/>
  <c r="R28" i="35"/>
  <c r="C4" i="36" s="1"/>
  <c r="D4" i="36" s="1"/>
  <c r="R25" i="35"/>
  <c r="C22" i="36" s="1"/>
  <c r="D22" i="36" s="1"/>
  <c r="R30" i="35"/>
  <c r="C6" i="36" s="1"/>
  <c r="D6" i="36" s="1"/>
  <c r="R27" i="35"/>
  <c r="C44" i="36" s="1"/>
  <c r="D44" i="36" s="1"/>
  <c r="R9" i="35"/>
  <c r="C24" i="36" s="1"/>
  <c r="D24" i="36" s="1"/>
  <c r="R38" i="35"/>
  <c r="R13" i="35"/>
  <c r="C34" i="36" s="1"/>
  <c r="D34" i="36" s="1"/>
  <c r="R56" i="35"/>
  <c r="C32" i="36" s="1"/>
  <c r="D32" i="36" s="1"/>
  <c r="R34" i="35"/>
  <c r="C27" i="36" s="1"/>
  <c r="D27" i="36" s="1"/>
  <c r="R36" i="35"/>
  <c r="C5" i="36" s="1"/>
  <c r="D5" i="36" s="1"/>
  <c r="R23" i="35"/>
  <c r="C8" i="36" s="1"/>
  <c r="D8" i="36" s="1"/>
  <c r="R22" i="35"/>
  <c r="C12" i="36" s="1"/>
  <c r="D12" i="36" s="1"/>
  <c r="R18" i="35"/>
  <c r="C18" i="36" s="1"/>
  <c r="D18" i="36" s="1"/>
  <c r="R40" i="35"/>
  <c r="C21" i="36" s="1"/>
  <c r="D21" i="36" s="1"/>
  <c r="R19" i="35"/>
  <c r="C14" i="36" s="1"/>
  <c r="D14" i="36" s="1"/>
  <c r="R41" i="35"/>
  <c r="C19" i="36" s="1"/>
  <c r="D19" i="36" s="1"/>
  <c r="R42" i="35"/>
  <c r="C35" i="36" s="1"/>
  <c r="D35" i="36" s="1"/>
  <c r="C30" i="36"/>
  <c r="D30" i="36" s="1"/>
  <c r="R53" i="35"/>
  <c r="C31" i="36" s="1"/>
  <c r="D31" i="36" s="1"/>
  <c r="R12" i="35"/>
  <c r="C9" i="36" s="1"/>
  <c r="D9" i="36" s="1"/>
  <c r="R17" i="35"/>
  <c r="C38" i="36" s="1"/>
  <c r="D38" i="36" s="1"/>
  <c r="R39" i="35"/>
  <c r="C45" i="36" s="1"/>
  <c r="D45" i="36" s="1"/>
  <c r="R32" i="35"/>
  <c r="C46" i="36" s="1"/>
  <c r="D46" i="36" s="1"/>
  <c r="R8" i="35"/>
  <c r="C48" i="36" s="1"/>
  <c r="D48" i="36" s="1"/>
  <c r="R10" i="35"/>
  <c r="C36" i="36" s="1"/>
  <c r="D36" i="36" s="1"/>
  <c r="R24" i="35"/>
  <c r="C43" i="36" s="1"/>
  <c r="D43" i="36" s="1"/>
  <c r="R21" i="35"/>
  <c r="C37" i="36" s="1"/>
  <c r="D37" i="36" s="1"/>
  <c r="R33" i="35"/>
  <c r="C7" i="36" s="1"/>
  <c r="R55" i="35"/>
  <c r="C42" i="36" s="1"/>
  <c r="D42" i="36" s="1"/>
  <c r="R6" i="35"/>
  <c r="C17" i="36" s="1"/>
  <c r="D17" i="36" s="1"/>
  <c r="R49" i="35"/>
  <c r="C29" i="36" s="1"/>
  <c r="D29" i="36" s="1"/>
  <c r="R29" i="35"/>
  <c r="C41" i="36" s="1"/>
  <c r="D41" i="36" s="1"/>
  <c r="R35" i="35"/>
  <c r="C40" i="36" s="1"/>
  <c r="D40" i="36" s="1"/>
  <c r="R50" i="35"/>
  <c r="C49" i="36" s="1"/>
  <c r="D49" i="36" s="1"/>
  <c r="R31" i="35"/>
  <c r="C23" i="36" s="1"/>
  <c r="D23" i="36" s="1"/>
  <c r="R52" i="35"/>
  <c r="C10" i="36" s="1"/>
  <c r="D10" i="36" s="1"/>
  <c r="R54" i="35"/>
  <c r="C28" i="36" s="1"/>
  <c r="D28" i="36" s="1"/>
  <c r="R51" i="35"/>
  <c r="C26" i="36" s="1"/>
  <c r="D26" i="36" s="1"/>
  <c r="C3" i="36"/>
  <c r="D3" i="36" s="1"/>
  <c r="R15" i="35"/>
  <c r="C33" i="36" s="1"/>
  <c r="D33" i="36" s="1"/>
  <c r="R43" i="35"/>
  <c r="C15" i="36" s="1"/>
  <c r="D15" i="36" s="1"/>
  <c r="R26" i="35"/>
  <c r="C20" i="36" s="1"/>
  <c r="D20" i="36" s="1"/>
  <c r="P57" i="34"/>
  <c r="O57" i="34"/>
  <c r="N57" i="34"/>
  <c r="M57" i="34"/>
  <c r="M59" i="34" s="1"/>
  <c r="S56" i="34"/>
  <c r="T56" i="34" s="1"/>
  <c r="Q56" i="34"/>
  <c r="S55" i="34"/>
  <c r="T55" i="34" s="1"/>
  <c r="Q55" i="34"/>
  <c r="P43" i="34"/>
  <c r="O43" i="34"/>
  <c r="N43" i="34"/>
  <c r="Q42" i="34"/>
  <c r="P42" i="34"/>
  <c r="O42" i="34"/>
  <c r="N42" i="34"/>
  <c r="P41" i="34"/>
  <c r="Q41" i="34" s="1"/>
  <c r="O41" i="34"/>
  <c r="N41" i="34"/>
  <c r="P40" i="34"/>
  <c r="O40" i="34"/>
  <c r="S40" i="34" s="1"/>
  <c r="T40" i="34" s="1"/>
  <c r="N40" i="34"/>
  <c r="P39" i="34"/>
  <c r="O39" i="34"/>
  <c r="N39" i="34"/>
  <c r="Q39" i="34" s="1"/>
  <c r="P38" i="34"/>
  <c r="O38" i="34"/>
  <c r="N38" i="34"/>
  <c r="P37" i="34"/>
  <c r="O37" i="34"/>
  <c r="N37" i="34"/>
  <c r="P36" i="34"/>
  <c r="O36" i="34"/>
  <c r="N36" i="34"/>
  <c r="P35" i="34"/>
  <c r="O35" i="34"/>
  <c r="N35" i="34"/>
  <c r="P34" i="34"/>
  <c r="O34" i="34"/>
  <c r="N34" i="34"/>
  <c r="P33" i="34"/>
  <c r="O33" i="34"/>
  <c r="N33" i="34"/>
  <c r="P32" i="34"/>
  <c r="O32" i="34"/>
  <c r="N32" i="34"/>
  <c r="P31" i="34"/>
  <c r="O31" i="34"/>
  <c r="N31" i="34"/>
  <c r="P30" i="34"/>
  <c r="O30" i="34"/>
  <c r="N30" i="34"/>
  <c r="P29" i="34"/>
  <c r="O29" i="34"/>
  <c r="N29" i="34"/>
  <c r="P28" i="34"/>
  <c r="O28" i="34"/>
  <c r="N28" i="34"/>
  <c r="P27" i="34"/>
  <c r="O27" i="34"/>
  <c r="N27" i="34"/>
  <c r="P26" i="34"/>
  <c r="O26" i="34"/>
  <c r="N26" i="34"/>
  <c r="Q26" i="34" s="1"/>
  <c r="P25" i="34"/>
  <c r="O25" i="34"/>
  <c r="N25" i="34"/>
  <c r="P24" i="34"/>
  <c r="O24" i="34"/>
  <c r="N24" i="34"/>
  <c r="P23" i="34"/>
  <c r="O23" i="34"/>
  <c r="N23" i="34"/>
  <c r="P22" i="34"/>
  <c r="O22" i="34"/>
  <c r="N22" i="34"/>
  <c r="S22" i="34" s="1"/>
  <c r="T22" i="34" s="1"/>
  <c r="P21" i="34"/>
  <c r="O21" i="34"/>
  <c r="N21" i="34"/>
  <c r="P20" i="34"/>
  <c r="O20" i="34"/>
  <c r="N20" i="34"/>
  <c r="P19" i="34"/>
  <c r="O19" i="34"/>
  <c r="N19" i="34"/>
  <c r="P18" i="34"/>
  <c r="O18" i="34"/>
  <c r="N18" i="34"/>
  <c r="Q18" i="34" s="1"/>
  <c r="P17" i="34"/>
  <c r="O17" i="34"/>
  <c r="N17" i="34"/>
  <c r="P16" i="34"/>
  <c r="O16" i="34"/>
  <c r="N16" i="34"/>
  <c r="P15" i="34"/>
  <c r="O15" i="34"/>
  <c r="N15" i="34"/>
  <c r="P14" i="34"/>
  <c r="O14" i="34"/>
  <c r="N14" i="34"/>
  <c r="Q14" i="34" s="1"/>
  <c r="P13" i="34"/>
  <c r="O13" i="34"/>
  <c r="N13" i="34"/>
  <c r="P12" i="34"/>
  <c r="O12" i="34"/>
  <c r="N12" i="34"/>
  <c r="P11" i="34"/>
  <c r="O11" i="34"/>
  <c r="N11" i="34"/>
  <c r="P10" i="34"/>
  <c r="O10" i="34"/>
  <c r="Q10" i="34" s="1"/>
  <c r="N10" i="34"/>
  <c r="P9" i="34"/>
  <c r="O9" i="34"/>
  <c r="N9" i="34"/>
  <c r="P8" i="34"/>
  <c r="O8" i="34"/>
  <c r="Q8" i="34" s="1"/>
  <c r="N8" i="34"/>
  <c r="P7" i="34"/>
  <c r="O7" i="34"/>
  <c r="N7" i="34"/>
  <c r="P6" i="34"/>
  <c r="O6" i="34"/>
  <c r="N6" i="34"/>
  <c r="P5" i="34"/>
  <c r="O5" i="34"/>
  <c r="N5" i="34"/>
  <c r="D7" i="36" l="1"/>
  <c r="C11" i="36"/>
  <c r="D11" i="36" s="1"/>
  <c r="R45" i="35"/>
  <c r="D13" i="36"/>
  <c r="R57" i="35"/>
  <c r="S17" i="34"/>
  <c r="T17" i="34" s="1"/>
  <c r="S21" i="34"/>
  <c r="T21" i="34" s="1"/>
  <c r="Q30" i="34"/>
  <c r="Q34" i="34"/>
  <c r="S38" i="34"/>
  <c r="T38" i="34" s="1"/>
  <c r="S42" i="34"/>
  <c r="T42" i="34" s="1"/>
  <c r="Q43" i="34"/>
  <c r="Q7" i="34"/>
  <c r="Q9" i="34"/>
  <c r="S33" i="34"/>
  <c r="T33" i="34" s="1"/>
  <c r="S37" i="34"/>
  <c r="T37" i="34" s="1"/>
  <c r="S6" i="34"/>
  <c r="T6" i="34" s="1"/>
  <c r="S10" i="34"/>
  <c r="T10" i="34" s="1"/>
  <c r="Q11" i="34"/>
  <c r="Q23" i="34"/>
  <c r="S24" i="34"/>
  <c r="T24" i="34" s="1"/>
  <c r="Q25" i="34"/>
  <c r="S57" i="34"/>
  <c r="S12" i="34"/>
  <c r="T12" i="34" s="1"/>
  <c r="Q13" i="34"/>
  <c r="S26" i="34"/>
  <c r="T26" i="34" s="1"/>
  <c r="Q27" i="34"/>
  <c r="S28" i="34"/>
  <c r="T28" i="34" s="1"/>
  <c r="Q29" i="34"/>
  <c r="N59" i="34"/>
  <c r="S9" i="34"/>
  <c r="T9" i="34" s="1"/>
  <c r="S14" i="34"/>
  <c r="T14" i="34" s="1"/>
  <c r="Q15" i="34"/>
  <c r="S16" i="34"/>
  <c r="T16" i="34" s="1"/>
  <c r="Q17" i="34"/>
  <c r="S25" i="34"/>
  <c r="T25" i="34" s="1"/>
  <c r="S30" i="34"/>
  <c r="T30" i="34" s="1"/>
  <c r="Q31" i="34"/>
  <c r="S32" i="34"/>
  <c r="T32" i="34" s="1"/>
  <c r="Q33" i="34"/>
  <c r="Q36" i="34"/>
  <c r="S41" i="34"/>
  <c r="T41" i="34" s="1"/>
  <c r="Q5" i="34"/>
  <c r="Q6" i="34"/>
  <c r="S13" i="34"/>
  <c r="T13" i="34" s="1"/>
  <c r="S18" i="34"/>
  <c r="T18" i="34" s="1"/>
  <c r="Q19" i="34"/>
  <c r="Q20" i="34"/>
  <c r="Q21" i="34"/>
  <c r="Q22" i="34"/>
  <c r="S29" i="34"/>
  <c r="T29" i="34" s="1"/>
  <c r="S34" i="34"/>
  <c r="T34" i="34" s="1"/>
  <c r="Q35" i="34"/>
  <c r="S36" i="34"/>
  <c r="T36" i="34" s="1"/>
  <c r="Q37" i="34"/>
  <c r="Q38" i="34"/>
  <c r="Q40" i="34"/>
  <c r="S8" i="34"/>
  <c r="T8" i="34" s="1"/>
  <c r="O59" i="34"/>
  <c r="S7" i="34"/>
  <c r="T7" i="34" s="1"/>
  <c r="S11" i="34"/>
  <c r="T11" i="34" s="1"/>
  <c r="S15" i="34"/>
  <c r="T15" i="34" s="1"/>
  <c r="S19" i="34"/>
  <c r="T19" i="34" s="1"/>
  <c r="S23" i="34"/>
  <c r="T23" i="34" s="1"/>
  <c r="S27" i="34"/>
  <c r="T27" i="34" s="1"/>
  <c r="S31" i="34"/>
  <c r="T31" i="34" s="1"/>
  <c r="S35" i="34"/>
  <c r="T35" i="34" s="1"/>
  <c r="S39" i="34"/>
  <c r="T39" i="34" s="1"/>
  <c r="S43" i="34"/>
  <c r="T43" i="34" s="1"/>
  <c r="P45" i="34"/>
  <c r="P59" i="34" s="1"/>
  <c r="T57" i="34"/>
  <c r="Q57" i="34"/>
  <c r="S20" i="34"/>
  <c r="T20" i="34" s="1"/>
  <c r="Q12" i="34"/>
  <c r="Q16" i="34"/>
  <c r="Q24" i="34"/>
  <c r="Q28" i="34"/>
  <c r="Q32" i="34"/>
  <c r="S5" i="34"/>
  <c r="R59" i="35" l="1"/>
  <c r="Q45" i="34"/>
  <c r="R50" i="34"/>
  <c r="R49" i="34"/>
  <c r="R52" i="34"/>
  <c r="R54" i="34"/>
  <c r="R51" i="34"/>
  <c r="R53" i="34"/>
  <c r="Q59" i="34"/>
  <c r="R9" i="34"/>
  <c r="R11" i="34"/>
  <c r="R29" i="34"/>
  <c r="R56" i="34"/>
  <c r="R18" i="34"/>
  <c r="R36" i="34"/>
  <c r="R10" i="34"/>
  <c r="R17" i="34"/>
  <c r="R19" i="34"/>
  <c r="R35" i="34"/>
  <c r="R26" i="34"/>
  <c r="R13" i="34"/>
  <c r="R30" i="34"/>
  <c r="R7" i="34"/>
  <c r="R31" i="34"/>
  <c r="R25" i="34"/>
  <c r="R5" i="34"/>
  <c r="R20" i="34"/>
  <c r="R37" i="34"/>
  <c r="R22" i="34"/>
  <c r="R41" i="34"/>
  <c r="R14" i="34"/>
  <c r="R43" i="34"/>
  <c r="R23" i="34"/>
  <c r="R33" i="34"/>
  <c r="R55" i="34"/>
  <c r="R42" i="34"/>
  <c r="R21" i="34"/>
  <c r="R38" i="34"/>
  <c r="R27" i="34"/>
  <c r="R39" i="34"/>
  <c r="R34" i="34"/>
  <c r="R8" i="34"/>
  <c r="R15" i="34"/>
  <c r="R6" i="34"/>
  <c r="R40" i="34"/>
  <c r="R24" i="34"/>
  <c r="T5" i="34"/>
  <c r="T45" i="34" s="1"/>
  <c r="T59" i="34" s="1"/>
  <c r="S45" i="34"/>
  <c r="S59" i="34" s="1"/>
  <c r="R16" i="34"/>
  <c r="R12" i="34"/>
  <c r="R32" i="34"/>
  <c r="R28" i="34"/>
  <c r="R45" i="34" l="1"/>
  <c r="R57" i="34"/>
  <c r="N5" i="33"/>
  <c r="N6" i="33"/>
  <c r="R59" i="34" l="1"/>
  <c r="P57" i="33"/>
  <c r="O57" i="33"/>
  <c r="N57" i="33"/>
  <c r="M57" i="33"/>
  <c r="T56" i="33"/>
  <c r="T55" i="33"/>
  <c r="T54" i="33"/>
  <c r="T53" i="33"/>
  <c r="T52" i="33"/>
  <c r="M45" i="33"/>
  <c r="M47" i="33" s="1"/>
  <c r="L45" i="33"/>
  <c r="L47" i="33" s="1"/>
  <c r="K45" i="33"/>
  <c r="K47" i="33" s="1"/>
  <c r="J45" i="33"/>
  <c r="J47" i="33" s="1"/>
  <c r="I45" i="33"/>
  <c r="I47" i="33" s="1"/>
  <c r="H45" i="33"/>
  <c r="H47" i="33" s="1"/>
  <c r="G45" i="33"/>
  <c r="G47" i="33" s="1"/>
  <c r="F45" i="33"/>
  <c r="F47" i="33" s="1"/>
  <c r="E45" i="33"/>
  <c r="E47" i="33" s="1"/>
  <c r="D45" i="33"/>
  <c r="D47" i="33" s="1"/>
  <c r="C45" i="33"/>
  <c r="C47" i="33" s="1"/>
  <c r="B45" i="33"/>
  <c r="P43" i="33"/>
  <c r="O43" i="33"/>
  <c r="N43" i="33"/>
  <c r="P42" i="33"/>
  <c r="O42" i="33"/>
  <c r="N42" i="33"/>
  <c r="P41" i="33"/>
  <c r="O41" i="33"/>
  <c r="N41" i="33"/>
  <c r="P40" i="33"/>
  <c r="O40" i="33"/>
  <c r="N40" i="33"/>
  <c r="P39" i="33"/>
  <c r="O39" i="33"/>
  <c r="N39" i="33"/>
  <c r="P38" i="33"/>
  <c r="O38" i="33"/>
  <c r="N38" i="33"/>
  <c r="P37" i="33"/>
  <c r="O37" i="33"/>
  <c r="N37" i="33"/>
  <c r="P36" i="33"/>
  <c r="O36" i="33"/>
  <c r="N36" i="33"/>
  <c r="S36" i="33" s="1"/>
  <c r="T36" i="33" s="1"/>
  <c r="P35" i="33"/>
  <c r="O35" i="33"/>
  <c r="N35" i="33"/>
  <c r="P34" i="33"/>
  <c r="O34" i="33"/>
  <c r="N34" i="33"/>
  <c r="P33" i="33"/>
  <c r="O33" i="33"/>
  <c r="N33" i="33"/>
  <c r="P32" i="33"/>
  <c r="O32" i="33"/>
  <c r="N32" i="33"/>
  <c r="P31" i="33"/>
  <c r="O31" i="33"/>
  <c r="N31" i="33"/>
  <c r="P30" i="33"/>
  <c r="O30" i="33"/>
  <c r="N30" i="33"/>
  <c r="P29" i="33"/>
  <c r="O29" i="33"/>
  <c r="N29" i="33"/>
  <c r="P28" i="33"/>
  <c r="O28" i="33"/>
  <c r="N28" i="33"/>
  <c r="P27" i="33"/>
  <c r="O27" i="33"/>
  <c r="N27" i="33"/>
  <c r="P26" i="33"/>
  <c r="O26" i="33"/>
  <c r="N26" i="33"/>
  <c r="P25" i="33"/>
  <c r="O25" i="33"/>
  <c r="N25" i="33"/>
  <c r="P24" i="33"/>
  <c r="O24" i="33"/>
  <c r="N24" i="33"/>
  <c r="P23" i="33"/>
  <c r="O23" i="33"/>
  <c r="N23" i="33"/>
  <c r="P22" i="33"/>
  <c r="O22" i="33"/>
  <c r="N22" i="33"/>
  <c r="P21" i="33"/>
  <c r="O21" i="33"/>
  <c r="N21" i="33"/>
  <c r="P20" i="33"/>
  <c r="O20" i="33"/>
  <c r="N20" i="33"/>
  <c r="P19" i="33"/>
  <c r="O19" i="33"/>
  <c r="N19" i="33"/>
  <c r="P18" i="33"/>
  <c r="O18" i="33"/>
  <c r="N18" i="33"/>
  <c r="P17" i="33"/>
  <c r="O17" i="33"/>
  <c r="N17" i="33"/>
  <c r="P16" i="33"/>
  <c r="O16" i="33"/>
  <c r="N16" i="33"/>
  <c r="P15" i="33"/>
  <c r="O15" i="33"/>
  <c r="N15" i="33"/>
  <c r="P14" i="33"/>
  <c r="O14" i="33"/>
  <c r="N14" i="33"/>
  <c r="P13" i="33"/>
  <c r="O13" i="33"/>
  <c r="N13" i="33"/>
  <c r="P12" i="33"/>
  <c r="O12" i="33"/>
  <c r="N12" i="33"/>
  <c r="P11" i="33"/>
  <c r="O11" i="33"/>
  <c r="N11" i="33"/>
  <c r="P10" i="33"/>
  <c r="O10" i="33"/>
  <c r="N10" i="33"/>
  <c r="P9" i="33"/>
  <c r="O9" i="33"/>
  <c r="N9" i="33"/>
  <c r="P8" i="33"/>
  <c r="O8" i="33"/>
  <c r="N8" i="33"/>
  <c r="P7" i="33"/>
  <c r="O7" i="33"/>
  <c r="N7" i="33"/>
  <c r="P6" i="33"/>
  <c r="O6" i="33"/>
  <c r="P5" i="33"/>
  <c r="O5" i="33"/>
  <c r="Q8" i="33" l="1"/>
  <c r="Q10" i="33"/>
  <c r="S6" i="33"/>
  <c r="T6" i="33" s="1"/>
  <c r="S11" i="33"/>
  <c r="T11" i="33" s="1"/>
  <c r="S22" i="33"/>
  <c r="T22" i="33" s="1"/>
  <c r="S24" i="33"/>
  <c r="T24" i="33" s="1"/>
  <c r="Q32" i="33"/>
  <c r="S40" i="33"/>
  <c r="T40" i="33" s="1"/>
  <c r="S57" i="33"/>
  <c r="Q57" i="33"/>
  <c r="T51" i="33"/>
  <c r="T50" i="33"/>
  <c r="Q41" i="33"/>
  <c r="Q28" i="33"/>
  <c r="Q31" i="33"/>
  <c r="Q35" i="33"/>
  <c r="Q26" i="33"/>
  <c r="S27" i="33"/>
  <c r="T27" i="33" s="1"/>
  <c r="Q30" i="33"/>
  <c r="Q37" i="33"/>
  <c r="S38" i="33"/>
  <c r="T38" i="33" s="1"/>
  <c r="Q40" i="33"/>
  <c r="Q42" i="33"/>
  <c r="Q24" i="33"/>
  <c r="Q21" i="33"/>
  <c r="Q16" i="33"/>
  <c r="S20" i="33"/>
  <c r="T20" i="33" s="1"/>
  <c r="Q12" i="33"/>
  <c r="Q15" i="33"/>
  <c r="Q19" i="33"/>
  <c r="Q5" i="33"/>
  <c r="S8" i="33"/>
  <c r="T8" i="33" s="1"/>
  <c r="Q9" i="33"/>
  <c r="S10" i="33"/>
  <c r="T10" i="33" s="1"/>
  <c r="Q14" i="33"/>
  <c r="S15" i="33"/>
  <c r="T15" i="33" s="1"/>
  <c r="Q25" i="33"/>
  <c r="S26" i="33"/>
  <c r="T26" i="33" s="1"/>
  <c r="S31" i="33"/>
  <c r="T31" i="33" s="1"/>
  <c r="S42" i="33"/>
  <c r="T42" i="33" s="1"/>
  <c r="O45" i="33"/>
  <c r="O59" i="33" s="1"/>
  <c r="P45" i="33"/>
  <c r="P59" i="33" s="1"/>
  <c r="Q7" i="33"/>
  <c r="S12" i="33"/>
  <c r="T12" i="33" s="1"/>
  <c r="Q13" i="33"/>
  <c r="S14" i="33"/>
  <c r="T14" i="33" s="1"/>
  <c r="Q18" i="33"/>
  <c r="S19" i="33"/>
  <c r="T19" i="33" s="1"/>
  <c r="Q23" i="33"/>
  <c r="S28" i="33"/>
  <c r="T28" i="33" s="1"/>
  <c r="Q29" i="33"/>
  <c r="S30" i="33"/>
  <c r="T30" i="33" s="1"/>
  <c r="Q34" i="33"/>
  <c r="S35" i="33"/>
  <c r="T35" i="33" s="1"/>
  <c r="Q39" i="33"/>
  <c r="Q6" i="33"/>
  <c r="S7" i="33"/>
  <c r="T7" i="33" s="1"/>
  <c r="Q11" i="33"/>
  <c r="S16" i="33"/>
  <c r="T16" i="33" s="1"/>
  <c r="Q17" i="33"/>
  <c r="S18" i="33"/>
  <c r="T18" i="33" s="1"/>
  <c r="Q20" i="33"/>
  <c r="Q22" i="33"/>
  <c r="S23" i="33"/>
  <c r="T23" i="33" s="1"/>
  <c r="Q27" i="33"/>
  <c r="S32" i="33"/>
  <c r="T32" i="33" s="1"/>
  <c r="Q33" i="33"/>
  <c r="S34" i="33"/>
  <c r="T34" i="33" s="1"/>
  <c r="Q36" i="33"/>
  <c r="Q38" i="33"/>
  <c r="S39" i="33"/>
  <c r="T39" i="33" s="1"/>
  <c r="S43" i="33"/>
  <c r="T43" i="33" s="1"/>
  <c r="M59" i="33"/>
  <c r="S5" i="33"/>
  <c r="S9" i="33"/>
  <c r="T9" i="33" s="1"/>
  <c r="S13" i="33"/>
  <c r="T13" i="33" s="1"/>
  <c r="S17" i="33"/>
  <c r="T17" i="33" s="1"/>
  <c r="S21" i="33"/>
  <c r="T21" i="33" s="1"/>
  <c r="S25" i="33"/>
  <c r="T25" i="33" s="1"/>
  <c r="S29" i="33"/>
  <c r="T29" i="33" s="1"/>
  <c r="S33" i="33"/>
  <c r="T33" i="33" s="1"/>
  <c r="S37" i="33"/>
  <c r="T37" i="33" s="1"/>
  <c r="S41" i="33"/>
  <c r="T41" i="33" s="1"/>
  <c r="Q43" i="33"/>
  <c r="N45" i="33"/>
  <c r="N59" i="33" s="1"/>
  <c r="T57" i="33" l="1"/>
  <c r="Q45" i="33"/>
  <c r="Q59" i="33" s="1"/>
  <c r="S45" i="33"/>
  <c r="S59" i="33" s="1"/>
  <c r="T5" i="33"/>
  <c r="T45" i="33" s="1"/>
  <c r="R51" i="33" l="1"/>
  <c r="R53" i="33"/>
  <c r="R55" i="33"/>
  <c r="R56" i="33"/>
  <c r="R50" i="33"/>
  <c r="R52" i="33"/>
  <c r="R5" i="33"/>
  <c r="R49" i="33"/>
  <c r="R54" i="33"/>
  <c r="T59" i="33"/>
  <c r="R26" i="33"/>
  <c r="R38" i="33"/>
  <c r="R19" i="33"/>
  <c r="R23" i="33"/>
  <c r="R43" i="33"/>
  <c r="R22" i="33"/>
  <c r="R35" i="33"/>
  <c r="R17" i="33"/>
  <c r="R32" i="33"/>
  <c r="R8" i="33"/>
  <c r="R6" i="33"/>
  <c r="R15" i="33"/>
  <c r="R36" i="33"/>
  <c r="R37" i="33"/>
  <c r="R7" i="33"/>
  <c r="R34" i="33"/>
  <c r="R40" i="33"/>
  <c r="R20" i="33"/>
  <c r="R29" i="33"/>
  <c r="R10" i="33"/>
  <c r="R16" i="33"/>
  <c r="R21" i="33"/>
  <c r="R12" i="33"/>
  <c r="R28" i="33"/>
  <c r="R27" i="33"/>
  <c r="R18" i="33"/>
  <c r="R24" i="33"/>
  <c r="R25" i="33"/>
  <c r="R13" i="33"/>
  <c r="R30" i="33"/>
  <c r="R41" i="33"/>
  <c r="R33" i="33"/>
  <c r="R39" i="33"/>
  <c r="R42" i="33"/>
  <c r="R31" i="33"/>
  <c r="R11" i="33"/>
  <c r="R9" i="33"/>
  <c r="R14" i="33"/>
  <c r="R57" i="33" l="1"/>
  <c r="R45" i="33"/>
  <c r="R59" i="33" l="1"/>
  <c r="Q49" i="32" l="1"/>
  <c r="D46" i="31" l="1"/>
  <c r="D45" i="31"/>
  <c r="S54" i="32"/>
  <c r="T54" i="32" s="1"/>
  <c r="T50" i="32"/>
  <c r="S53" i="32"/>
  <c r="T53" i="32" s="1"/>
  <c r="S56" i="32"/>
  <c r="T56" i="32" s="1"/>
  <c r="T51" i="32"/>
  <c r="S55" i="32"/>
  <c r="T55" i="32" s="1"/>
  <c r="Q55" i="32"/>
  <c r="T52" i="32"/>
  <c r="S57" i="32" l="1"/>
  <c r="T49" i="32"/>
  <c r="T57" i="32" s="1"/>
  <c r="P32" i="32"/>
  <c r="O32" i="32"/>
  <c r="N32" i="32"/>
  <c r="Q50" i="32" l="1"/>
  <c r="Q51" i="32"/>
  <c r="Q52" i="32"/>
  <c r="Q53" i="32"/>
  <c r="Q54" i="32"/>
  <c r="Q56" i="32"/>
  <c r="S32" i="32"/>
  <c r="T32" i="32" s="1"/>
  <c r="Q32" i="32"/>
  <c r="P57" i="32"/>
  <c r="O57" i="32"/>
  <c r="N57" i="32"/>
  <c r="M57" i="32"/>
  <c r="Q57" i="32" l="1"/>
  <c r="P6" i="32" l="1"/>
  <c r="P7" i="32"/>
  <c r="P8" i="32"/>
  <c r="P9" i="32"/>
  <c r="P10" i="32"/>
  <c r="P11" i="32"/>
  <c r="P12" i="32"/>
  <c r="P13" i="32"/>
  <c r="P14" i="32"/>
  <c r="P15" i="32"/>
  <c r="P16" i="32"/>
  <c r="P17" i="32"/>
  <c r="P18" i="32"/>
  <c r="P19" i="32"/>
  <c r="P20" i="32"/>
  <c r="P21" i="32"/>
  <c r="P22" i="32"/>
  <c r="P23" i="32"/>
  <c r="P24" i="32"/>
  <c r="P25" i="32"/>
  <c r="P26" i="32"/>
  <c r="P27" i="32"/>
  <c r="P28" i="32"/>
  <c r="P29" i="32"/>
  <c r="P30" i="32"/>
  <c r="P31" i="32"/>
  <c r="P33" i="32"/>
  <c r="P34" i="32"/>
  <c r="P35" i="32"/>
  <c r="P36" i="32"/>
  <c r="P37" i="32"/>
  <c r="P38" i="32"/>
  <c r="P39" i="32"/>
  <c r="P40" i="32"/>
  <c r="P41" i="32"/>
  <c r="P42" i="32"/>
  <c r="P43" i="32"/>
  <c r="O6" i="32"/>
  <c r="O7" i="32"/>
  <c r="O8" i="32"/>
  <c r="O9" i="32"/>
  <c r="O10" i="32"/>
  <c r="O11" i="32"/>
  <c r="O12" i="32"/>
  <c r="O13" i="32"/>
  <c r="O14" i="32"/>
  <c r="O15" i="32"/>
  <c r="O16" i="32"/>
  <c r="O17" i="32"/>
  <c r="O18" i="32"/>
  <c r="O19" i="32"/>
  <c r="O20" i="32"/>
  <c r="O21" i="32"/>
  <c r="O22" i="32"/>
  <c r="O23" i="32"/>
  <c r="O24" i="32"/>
  <c r="O25" i="32"/>
  <c r="O26" i="32"/>
  <c r="O27" i="32"/>
  <c r="O28" i="32"/>
  <c r="O29" i="32"/>
  <c r="O30" i="32"/>
  <c r="O31" i="32"/>
  <c r="O33" i="32"/>
  <c r="O34" i="32"/>
  <c r="O35" i="32"/>
  <c r="O36" i="32"/>
  <c r="O37" i="32"/>
  <c r="O38" i="32"/>
  <c r="O39" i="32"/>
  <c r="O40" i="32"/>
  <c r="O41" i="32"/>
  <c r="O42" i="32"/>
  <c r="O43" i="32"/>
  <c r="N6" i="32"/>
  <c r="N7" i="32"/>
  <c r="N8" i="32"/>
  <c r="N9" i="32"/>
  <c r="N10" i="32"/>
  <c r="N11" i="32"/>
  <c r="N12" i="32"/>
  <c r="N13" i="32"/>
  <c r="N14" i="32"/>
  <c r="N15" i="32"/>
  <c r="N16" i="32"/>
  <c r="N17" i="32"/>
  <c r="N18" i="32"/>
  <c r="N19" i="32"/>
  <c r="N20" i="32"/>
  <c r="N21" i="32"/>
  <c r="N22" i="32"/>
  <c r="N23" i="32"/>
  <c r="N24" i="32"/>
  <c r="N25" i="32"/>
  <c r="N26" i="32"/>
  <c r="N27" i="32"/>
  <c r="N28" i="32"/>
  <c r="N29" i="32"/>
  <c r="N30" i="32"/>
  <c r="N31" i="32"/>
  <c r="N33" i="32"/>
  <c r="N34" i="32"/>
  <c r="N35" i="32"/>
  <c r="N36" i="32"/>
  <c r="N37" i="32"/>
  <c r="N38" i="32"/>
  <c r="N39" i="32"/>
  <c r="N40" i="32"/>
  <c r="N41" i="32"/>
  <c r="N42" i="32"/>
  <c r="N43" i="32"/>
  <c r="M45" i="32"/>
  <c r="M59" i="32" s="1"/>
  <c r="L45" i="32"/>
  <c r="L47" i="32" s="1"/>
  <c r="K45" i="32"/>
  <c r="K47" i="32" s="1"/>
  <c r="J45" i="32"/>
  <c r="J47" i="32" s="1"/>
  <c r="I45" i="32"/>
  <c r="I47" i="32" s="1"/>
  <c r="H45" i="32"/>
  <c r="H47" i="32" s="1"/>
  <c r="G45" i="32"/>
  <c r="G47" i="32" s="1"/>
  <c r="F45" i="32"/>
  <c r="F47" i="32" s="1"/>
  <c r="E45" i="32"/>
  <c r="E47" i="32" s="1"/>
  <c r="D45" i="32"/>
  <c r="D47" i="32" s="1"/>
  <c r="C45" i="32"/>
  <c r="C47" i="32" s="1"/>
  <c r="B45" i="32"/>
  <c r="B47" i="32" s="1"/>
  <c r="F46" i="31"/>
  <c r="F45" i="31"/>
  <c r="P5" i="32"/>
  <c r="O5" i="32"/>
  <c r="O45" i="32" s="1"/>
  <c r="O59" i="32" s="1"/>
  <c r="N5" i="32"/>
  <c r="Q5" i="32" s="1"/>
  <c r="M47" i="32" l="1"/>
  <c r="S33" i="32"/>
  <c r="T33" i="32" s="1"/>
  <c r="Q33" i="32"/>
  <c r="Q23" i="32"/>
  <c r="S23" i="32"/>
  <c r="T23" i="32" s="1"/>
  <c r="S7" i="32"/>
  <c r="T7" i="32" s="1"/>
  <c r="Q7" i="32"/>
  <c r="S5" i="32"/>
  <c r="S39" i="32"/>
  <c r="T39" i="32" s="1"/>
  <c r="Q39" i="32"/>
  <c r="S30" i="32"/>
  <c r="T30" i="32" s="1"/>
  <c r="Q30" i="32"/>
  <c r="Q22" i="32"/>
  <c r="S22" i="32"/>
  <c r="T22" i="32" s="1"/>
  <c r="Q14" i="32"/>
  <c r="S14" i="32"/>
  <c r="T14" i="32" s="1"/>
  <c r="Q6" i="32"/>
  <c r="S6" i="32"/>
  <c r="T6" i="32" s="1"/>
  <c r="Q8" i="32"/>
  <c r="S8" i="32"/>
  <c r="T8" i="32" s="1"/>
  <c r="Q31" i="32"/>
  <c r="S31" i="32"/>
  <c r="T31" i="32" s="1"/>
  <c r="S15" i="32"/>
  <c r="T15" i="32" s="1"/>
  <c r="Q15" i="32"/>
  <c r="P45" i="32"/>
  <c r="P59" i="32" s="1"/>
  <c r="Q29" i="32"/>
  <c r="S29" i="32"/>
  <c r="T29" i="32" s="1"/>
  <c r="Q13" i="32"/>
  <c r="S13" i="32"/>
  <c r="T13" i="32" s="1"/>
  <c r="Q24" i="32"/>
  <c r="S24" i="32"/>
  <c r="T24" i="32" s="1"/>
  <c r="Q40" i="32"/>
  <c r="S40" i="32"/>
  <c r="T40" i="32" s="1"/>
  <c r="S38" i="32"/>
  <c r="T38" i="32" s="1"/>
  <c r="Q38" i="32"/>
  <c r="Q21" i="32"/>
  <c r="S21" i="32"/>
  <c r="T21" i="32" s="1"/>
  <c r="Q37" i="32"/>
  <c r="S37" i="32"/>
  <c r="T37" i="32" s="1"/>
  <c r="Q28" i="32"/>
  <c r="S28" i="32"/>
  <c r="T28" i="32" s="1"/>
  <c r="Q20" i="32"/>
  <c r="S20" i="32"/>
  <c r="T20" i="32" s="1"/>
  <c r="Q12" i="32"/>
  <c r="S12" i="32"/>
  <c r="T12" i="32" s="1"/>
  <c r="S16" i="32"/>
  <c r="T16" i="32" s="1"/>
  <c r="Q16" i="32"/>
  <c r="S27" i="32"/>
  <c r="T27" i="32" s="1"/>
  <c r="Q27" i="32"/>
  <c r="S11" i="32"/>
  <c r="T11" i="32" s="1"/>
  <c r="Q11" i="32"/>
  <c r="S35" i="32"/>
  <c r="T35" i="32" s="1"/>
  <c r="Q35" i="32"/>
  <c r="S26" i="32"/>
  <c r="T26" i="32" s="1"/>
  <c r="Q26" i="32"/>
  <c r="S10" i="32"/>
  <c r="T10" i="32" s="1"/>
  <c r="Q10" i="32"/>
  <c r="S41" i="32"/>
  <c r="T41" i="32" s="1"/>
  <c r="Q41" i="32"/>
  <c r="Q36" i="32"/>
  <c r="S36" i="32"/>
  <c r="T36" i="32" s="1"/>
  <c r="Q19" i="32"/>
  <c r="S19" i="32"/>
  <c r="T19" i="32" s="1"/>
  <c r="S43" i="32"/>
  <c r="T43" i="32" s="1"/>
  <c r="Q43" i="32"/>
  <c r="S18" i="32"/>
  <c r="T18" i="32" s="1"/>
  <c r="Q18" i="32"/>
  <c r="Q42" i="32"/>
  <c r="S42" i="32"/>
  <c r="T42" i="32" s="1"/>
  <c r="S34" i="32"/>
  <c r="T34" i="32" s="1"/>
  <c r="Q34" i="32"/>
  <c r="S25" i="32"/>
  <c r="T25" i="32" s="1"/>
  <c r="Q25" i="32"/>
  <c r="S17" i="32"/>
  <c r="T17" i="32" s="1"/>
  <c r="Q17" i="32"/>
  <c r="N45" i="32"/>
  <c r="N59" i="32" s="1"/>
  <c r="S9" i="32"/>
  <c r="T9" i="32" s="1"/>
  <c r="Q9" i="32"/>
  <c r="T56" i="31"/>
  <c r="U56" i="31" s="1"/>
  <c r="T55" i="31"/>
  <c r="U55" i="31" s="1"/>
  <c r="T54" i="31"/>
  <c r="U54" i="31" s="1"/>
  <c r="T53" i="31"/>
  <c r="U53" i="31" s="1"/>
  <c r="T52" i="31"/>
  <c r="U52" i="31" s="1"/>
  <c r="T51" i="31"/>
  <c r="U51" i="31" s="1"/>
  <c r="T50" i="31"/>
  <c r="U50" i="31" s="1"/>
  <c r="U49" i="31"/>
  <c r="N45" i="31"/>
  <c r="M45" i="31"/>
  <c r="L45" i="31"/>
  <c r="K45" i="31"/>
  <c r="J45" i="31"/>
  <c r="I45" i="31"/>
  <c r="H45" i="31"/>
  <c r="G45" i="31"/>
  <c r="E45" i="31"/>
  <c r="C45" i="31"/>
  <c r="B45" i="31"/>
  <c r="O5" i="31"/>
  <c r="R57" i="31"/>
  <c r="Q57" i="31"/>
  <c r="P57" i="31"/>
  <c r="O57" i="31"/>
  <c r="P5" i="31"/>
  <c r="Q5" i="31"/>
  <c r="O6" i="31"/>
  <c r="O7" i="31"/>
  <c r="O8" i="31"/>
  <c r="O9" i="31"/>
  <c r="O10" i="31"/>
  <c r="O11" i="31"/>
  <c r="O12" i="31"/>
  <c r="O13" i="31"/>
  <c r="O26" i="31"/>
  <c r="O14" i="31"/>
  <c r="O15" i="31"/>
  <c r="O16" i="31"/>
  <c r="O17" i="31"/>
  <c r="O18" i="31"/>
  <c r="O19" i="31"/>
  <c r="O20" i="31"/>
  <c r="O21" i="31"/>
  <c r="O22" i="31"/>
  <c r="O23" i="31"/>
  <c r="O24" i="31"/>
  <c r="O25" i="31"/>
  <c r="O27" i="31"/>
  <c r="O28" i="31"/>
  <c r="O29" i="31"/>
  <c r="O30" i="31"/>
  <c r="O31" i="31"/>
  <c r="O32" i="31"/>
  <c r="O33" i="31"/>
  <c r="O34" i="31"/>
  <c r="O35" i="31"/>
  <c r="O36" i="31"/>
  <c r="O37" i="31"/>
  <c r="O38" i="31"/>
  <c r="O39" i="31"/>
  <c r="O40" i="31"/>
  <c r="O41" i="31"/>
  <c r="O42" i="31"/>
  <c r="O43" i="31"/>
  <c r="P6" i="31"/>
  <c r="P7" i="31"/>
  <c r="P8" i="31"/>
  <c r="P9" i="31"/>
  <c r="P10" i="31"/>
  <c r="P11" i="31"/>
  <c r="P12" i="31"/>
  <c r="P13" i="31"/>
  <c r="P26" i="31"/>
  <c r="P14" i="31"/>
  <c r="P15" i="31"/>
  <c r="P16" i="31"/>
  <c r="P17" i="31"/>
  <c r="P18" i="31"/>
  <c r="P19" i="31"/>
  <c r="P20" i="31"/>
  <c r="P21" i="31"/>
  <c r="P22" i="31"/>
  <c r="P23" i="31"/>
  <c r="P24" i="31"/>
  <c r="P25" i="31"/>
  <c r="P27" i="31"/>
  <c r="P28" i="31"/>
  <c r="P29" i="31"/>
  <c r="P30" i="31"/>
  <c r="P31" i="31"/>
  <c r="P32" i="31"/>
  <c r="P33" i="31"/>
  <c r="P34" i="31"/>
  <c r="P35" i="31"/>
  <c r="P36" i="31"/>
  <c r="P37" i="31"/>
  <c r="P38" i="31"/>
  <c r="P39" i="31"/>
  <c r="P40" i="31"/>
  <c r="P41" i="31"/>
  <c r="P42" i="31"/>
  <c r="P43" i="31"/>
  <c r="Q6" i="31"/>
  <c r="Q7" i="31"/>
  <c r="Q8" i="31"/>
  <c r="Q9" i="31"/>
  <c r="Q10" i="31"/>
  <c r="Q11" i="31"/>
  <c r="Q12" i="31"/>
  <c r="Q13" i="31"/>
  <c r="Q26" i="31"/>
  <c r="Q14" i="31"/>
  <c r="Q15" i="31"/>
  <c r="Q16" i="31"/>
  <c r="Q17" i="31"/>
  <c r="Q18" i="31"/>
  <c r="Q19" i="31"/>
  <c r="Q20" i="31"/>
  <c r="Q21" i="31"/>
  <c r="Q22" i="31"/>
  <c r="R22" i="31" s="1"/>
  <c r="Q23" i="31"/>
  <c r="Q24" i="31"/>
  <c r="Q25" i="31"/>
  <c r="Q27" i="31"/>
  <c r="Q28" i="31"/>
  <c r="Q29" i="31"/>
  <c r="Q30" i="31"/>
  <c r="Q31" i="31"/>
  <c r="Q32" i="31"/>
  <c r="Q33" i="31"/>
  <c r="Q34" i="31"/>
  <c r="Q35" i="31"/>
  <c r="Q36" i="31"/>
  <c r="Q37" i="31"/>
  <c r="Q38" i="31"/>
  <c r="Q39" i="31"/>
  <c r="Q40" i="31"/>
  <c r="Q41" i="31"/>
  <c r="Q42" i="31"/>
  <c r="Q43" i="31"/>
  <c r="M46" i="31"/>
  <c r="M59" i="31" s="1"/>
  <c r="L46" i="31"/>
  <c r="K46" i="31"/>
  <c r="J46" i="31"/>
  <c r="I46" i="31"/>
  <c r="H46" i="31"/>
  <c r="G46" i="31"/>
  <c r="E46" i="31"/>
  <c r="C46" i="31"/>
  <c r="B46" i="31"/>
  <c r="A58" i="23"/>
  <c r="A57" i="23"/>
  <c r="A56" i="23"/>
  <c r="A55" i="23"/>
  <c r="A54" i="23"/>
  <c r="A53" i="23"/>
  <c r="A52" i="23"/>
  <c r="A51" i="23"/>
  <c r="A59" i="22"/>
  <c r="A58" i="22"/>
  <c r="A57" i="22"/>
  <c r="A56" i="22"/>
  <c r="A55" i="22"/>
  <c r="A54" i="22"/>
  <c r="A53" i="22"/>
  <c r="A52" i="22"/>
  <c r="P241" i="19"/>
  <c r="Q221" i="19"/>
  <c r="G242" i="19"/>
  <c r="H242" i="19"/>
  <c r="I242" i="19"/>
  <c r="J242" i="19"/>
  <c r="K242" i="19"/>
  <c r="L242" i="19"/>
  <c r="M242" i="19"/>
  <c r="N242" i="19"/>
  <c r="O242" i="19"/>
  <c r="P242" i="19"/>
  <c r="F242" i="19"/>
  <c r="G241" i="19"/>
  <c r="H241" i="19"/>
  <c r="I241" i="19"/>
  <c r="J241" i="19"/>
  <c r="K241" i="19"/>
  <c r="L241" i="19"/>
  <c r="M241" i="19"/>
  <c r="N241" i="19"/>
  <c r="O241" i="19"/>
  <c r="F241" i="19"/>
  <c r="S214" i="19"/>
  <c r="S51" i="23" s="1"/>
  <c r="S215" i="19"/>
  <c r="S52" i="22" s="1"/>
  <c r="S216" i="19"/>
  <c r="R214" i="19"/>
  <c r="R51" i="23" s="1"/>
  <c r="R215" i="19"/>
  <c r="R52" i="22" s="1"/>
  <c r="R216" i="19"/>
  <c r="Q214" i="19"/>
  <c r="Q51" i="23" s="1"/>
  <c r="Q215" i="19"/>
  <c r="Q216" i="19"/>
  <c r="S187" i="19"/>
  <c r="S56" i="23" s="1"/>
  <c r="S188" i="19"/>
  <c r="S57" i="22" s="1"/>
  <c r="S189" i="19"/>
  <c r="R187" i="19"/>
  <c r="R56" i="23" s="1"/>
  <c r="R188" i="19"/>
  <c r="R57" i="22" s="1"/>
  <c r="R189" i="19"/>
  <c r="Q187" i="19"/>
  <c r="Q56" i="23" s="1"/>
  <c r="Q188" i="19"/>
  <c r="Q57" i="22" s="1"/>
  <c r="Q189" i="19"/>
  <c r="Q190" i="19"/>
  <c r="S160" i="19"/>
  <c r="S52" i="23" s="1"/>
  <c r="S161" i="19"/>
  <c r="S53" i="22" s="1"/>
  <c r="R160" i="19"/>
  <c r="R52" i="23" s="1"/>
  <c r="R161" i="19"/>
  <c r="R53" i="22" s="1"/>
  <c r="R162" i="19"/>
  <c r="Q160" i="19"/>
  <c r="Q52" i="23" s="1"/>
  <c r="Q161" i="19"/>
  <c r="Q53" i="22" s="1"/>
  <c r="Q162" i="19"/>
  <c r="S133" i="19"/>
  <c r="S55" i="23"/>
  <c r="S134" i="19"/>
  <c r="S56" i="22" s="1"/>
  <c r="S135" i="19"/>
  <c r="R133" i="19"/>
  <c r="R55" i="23" s="1"/>
  <c r="R134" i="19"/>
  <c r="R56" i="22" s="1"/>
  <c r="R135" i="19"/>
  <c r="Q133" i="19"/>
  <c r="Q55" i="23" s="1"/>
  <c r="T55" i="23" s="1"/>
  <c r="Q134" i="19"/>
  <c r="Q135" i="19"/>
  <c r="S106" i="19"/>
  <c r="S58" i="23"/>
  <c r="S107" i="19"/>
  <c r="S59" i="22" s="1"/>
  <c r="R106" i="19"/>
  <c r="R58" i="23"/>
  <c r="R107" i="19"/>
  <c r="R59" i="22" s="1"/>
  <c r="Q106" i="19"/>
  <c r="Q107" i="19"/>
  <c r="S79" i="19"/>
  <c r="S53" i="23" s="1"/>
  <c r="S80" i="19"/>
  <c r="S54" i="22" s="1"/>
  <c r="R79" i="19"/>
  <c r="R53" i="23" s="1"/>
  <c r="R80" i="19"/>
  <c r="R54" i="22" s="1"/>
  <c r="Q79" i="19"/>
  <c r="T79" i="19"/>
  <c r="Q80" i="19"/>
  <c r="Q59" i="19"/>
  <c r="S52" i="19"/>
  <c r="S57" i="23" s="1"/>
  <c r="S53" i="19"/>
  <c r="S58" i="22" s="1"/>
  <c r="R52" i="19"/>
  <c r="R53" i="19"/>
  <c r="R58" i="22" s="1"/>
  <c r="Q52" i="19"/>
  <c r="Q57" i="23" s="1"/>
  <c r="Q53" i="19"/>
  <c r="S25" i="19"/>
  <c r="S54" i="23" s="1"/>
  <c r="S26" i="19"/>
  <c r="S27" i="19"/>
  <c r="R25" i="19"/>
  <c r="R26" i="19"/>
  <c r="R27" i="19"/>
  <c r="Q25" i="19"/>
  <c r="Q26" i="19"/>
  <c r="Q27" i="19"/>
  <c r="Q28" i="19"/>
  <c r="R28" i="19"/>
  <c r="S28" i="19"/>
  <c r="Q29" i="19"/>
  <c r="R29" i="19"/>
  <c r="S29" i="19"/>
  <c r="Q30" i="19"/>
  <c r="R30" i="19"/>
  <c r="S30" i="19"/>
  <c r="Q31" i="19"/>
  <c r="R31" i="19"/>
  <c r="S31" i="19"/>
  <c r="Q32" i="19"/>
  <c r="R32" i="19"/>
  <c r="P52" i="17" s="1"/>
  <c r="S32" i="19"/>
  <c r="Q33" i="19"/>
  <c r="R33" i="19"/>
  <c r="S33" i="19"/>
  <c r="Q34" i="19"/>
  <c r="R34" i="19"/>
  <c r="S34" i="19"/>
  <c r="Q35" i="19"/>
  <c r="R35" i="19"/>
  <c r="S35" i="19"/>
  <c r="Q36" i="19"/>
  <c r="R36" i="19"/>
  <c r="S36" i="19"/>
  <c r="Q37" i="19"/>
  <c r="R37" i="19"/>
  <c r="S37" i="19"/>
  <c r="Q38" i="19"/>
  <c r="T38" i="19" s="1"/>
  <c r="R38" i="19"/>
  <c r="S38" i="19"/>
  <c r="Q39" i="19"/>
  <c r="R39" i="19"/>
  <c r="S39" i="19"/>
  <c r="Q40" i="19"/>
  <c r="R40" i="19"/>
  <c r="S40" i="19"/>
  <c r="Q41" i="19"/>
  <c r="R41" i="19"/>
  <c r="S41" i="19"/>
  <c r="Q42" i="19"/>
  <c r="R42" i="19"/>
  <c r="S42" i="19"/>
  <c r="Q43" i="19"/>
  <c r="R43" i="19"/>
  <c r="S43" i="19"/>
  <c r="Q44" i="19"/>
  <c r="R44" i="19"/>
  <c r="S44" i="19"/>
  <c r="Q45" i="19"/>
  <c r="R45" i="19"/>
  <c r="S45" i="19"/>
  <c r="Q46" i="19"/>
  <c r="R46" i="19"/>
  <c r="S46" i="19"/>
  <c r="Q47" i="19"/>
  <c r="R47" i="19"/>
  <c r="S47" i="19"/>
  <c r="Q48" i="19"/>
  <c r="R48" i="19"/>
  <c r="S48" i="19"/>
  <c r="Q49" i="19"/>
  <c r="R49" i="19"/>
  <c r="S49" i="19"/>
  <c r="Q50" i="19"/>
  <c r="R50" i="19"/>
  <c r="S50" i="19"/>
  <c r="Q51" i="19"/>
  <c r="R51" i="19"/>
  <c r="S51" i="19"/>
  <c r="Q54" i="19"/>
  <c r="R54" i="19"/>
  <c r="S54" i="19"/>
  <c r="Q55" i="19"/>
  <c r="R55" i="19"/>
  <c r="S55" i="19"/>
  <c r="Q56" i="19"/>
  <c r="R56" i="19"/>
  <c r="S56" i="19"/>
  <c r="Q57" i="19"/>
  <c r="R57" i="19"/>
  <c r="S57" i="19"/>
  <c r="Q58" i="19"/>
  <c r="R58" i="19"/>
  <c r="S58" i="19"/>
  <c r="R59" i="19"/>
  <c r="S59" i="19"/>
  <c r="T59" i="19" s="1"/>
  <c r="Q60" i="19"/>
  <c r="R60" i="19"/>
  <c r="S60" i="19"/>
  <c r="Q61" i="19"/>
  <c r="R61" i="19"/>
  <c r="S61" i="19"/>
  <c r="Q62" i="19"/>
  <c r="R62" i="19"/>
  <c r="S62" i="19"/>
  <c r="Q63" i="19"/>
  <c r="R63" i="19"/>
  <c r="S63" i="19"/>
  <c r="Q64" i="19"/>
  <c r="R64" i="19"/>
  <c r="T64" i="19" s="1"/>
  <c r="S64" i="19"/>
  <c r="Q65" i="19"/>
  <c r="R65" i="19"/>
  <c r="S65" i="19"/>
  <c r="Q66" i="19"/>
  <c r="R66" i="19"/>
  <c r="S66" i="19"/>
  <c r="Q67" i="19"/>
  <c r="R67" i="19"/>
  <c r="S67" i="19"/>
  <c r="Q68" i="19"/>
  <c r="R68" i="19"/>
  <c r="S68" i="19"/>
  <c r="Q69" i="19"/>
  <c r="R69" i="19"/>
  <c r="S69" i="19"/>
  <c r="Q70" i="19"/>
  <c r="R70" i="19"/>
  <c r="S70" i="19"/>
  <c r="Q71" i="19"/>
  <c r="R71" i="19"/>
  <c r="S71" i="19"/>
  <c r="Q72" i="19"/>
  <c r="R72" i="19"/>
  <c r="T72" i="19" s="1"/>
  <c r="S72" i="19"/>
  <c r="Q73" i="19"/>
  <c r="R73" i="19"/>
  <c r="S73" i="19"/>
  <c r="Q74" i="19"/>
  <c r="R74" i="19"/>
  <c r="S74" i="19"/>
  <c r="Q75" i="19"/>
  <c r="R75" i="19"/>
  <c r="S75" i="19"/>
  <c r="Q76" i="19"/>
  <c r="R76" i="19"/>
  <c r="S76" i="19"/>
  <c r="Q77" i="19"/>
  <c r="R77" i="19"/>
  <c r="S77" i="19"/>
  <c r="Q78" i="19"/>
  <c r="R78" i="19"/>
  <c r="S78" i="19"/>
  <c r="Q81" i="19"/>
  <c r="R81" i="19"/>
  <c r="S81" i="19"/>
  <c r="Q82" i="19"/>
  <c r="R82" i="19"/>
  <c r="S82" i="19"/>
  <c r="Q83" i="19"/>
  <c r="T83" i="19" s="1"/>
  <c r="R83" i="19"/>
  <c r="S83" i="19"/>
  <c r="Q84" i="19"/>
  <c r="R84" i="19"/>
  <c r="S84" i="19"/>
  <c r="Q85" i="19"/>
  <c r="R85" i="19"/>
  <c r="S85" i="19"/>
  <c r="Q86" i="19"/>
  <c r="R86" i="19"/>
  <c r="S86" i="19"/>
  <c r="Q87" i="19"/>
  <c r="R87" i="19"/>
  <c r="S87" i="19"/>
  <c r="Q88" i="19"/>
  <c r="R88" i="19"/>
  <c r="S88" i="19"/>
  <c r="Q89" i="19"/>
  <c r="R89" i="19"/>
  <c r="S89" i="19"/>
  <c r="Q90" i="19"/>
  <c r="R90" i="19"/>
  <c r="S90" i="19"/>
  <c r="Q91" i="19"/>
  <c r="R91" i="19"/>
  <c r="S91" i="19"/>
  <c r="Q92" i="19"/>
  <c r="R92" i="19"/>
  <c r="S92" i="19"/>
  <c r="Q93" i="19"/>
  <c r="R93" i="19"/>
  <c r="S93" i="19"/>
  <c r="Q94" i="19"/>
  <c r="R94" i="19"/>
  <c r="S94" i="19"/>
  <c r="Q95" i="19"/>
  <c r="R95" i="19"/>
  <c r="S95" i="19"/>
  <c r="Q96" i="19"/>
  <c r="R96" i="19"/>
  <c r="S96" i="19"/>
  <c r="Q97" i="19"/>
  <c r="R97" i="19"/>
  <c r="S97" i="19"/>
  <c r="Q98" i="19"/>
  <c r="R98" i="19"/>
  <c r="S98" i="19"/>
  <c r="Q99" i="19"/>
  <c r="R99" i="19"/>
  <c r="S99" i="19"/>
  <c r="Q100" i="19"/>
  <c r="R100" i="19"/>
  <c r="S100" i="19"/>
  <c r="Q101" i="19"/>
  <c r="R101" i="19"/>
  <c r="S101" i="19"/>
  <c r="Q102" i="19"/>
  <c r="R102" i="19"/>
  <c r="S102" i="19"/>
  <c r="Q103" i="19"/>
  <c r="R103" i="19"/>
  <c r="S103" i="19"/>
  <c r="Q104" i="19"/>
  <c r="R104" i="19"/>
  <c r="S104" i="19"/>
  <c r="Q105" i="19"/>
  <c r="R105" i="19"/>
  <c r="S105" i="19"/>
  <c r="Q108" i="19"/>
  <c r="R108" i="19"/>
  <c r="S108" i="19"/>
  <c r="Q109" i="19"/>
  <c r="R109" i="19"/>
  <c r="T109" i="19" s="1"/>
  <c r="S109" i="19"/>
  <c r="Q110" i="19"/>
  <c r="R110" i="19"/>
  <c r="S110" i="19"/>
  <c r="Q111" i="19"/>
  <c r="R111" i="19"/>
  <c r="S111" i="19"/>
  <c r="Q112" i="19"/>
  <c r="R112" i="19"/>
  <c r="S112" i="19"/>
  <c r="Q113" i="19"/>
  <c r="R113" i="19"/>
  <c r="S113" i="19"/>
  <c r="Q114" i="19"/>
  <c r="R114" i="19"/>
  <c r="S114" i="19"/>
  <c r="Q115" i="19"/>
  <c r="T115" i="19" s="1"/>
  <c r="R115" i="19"/>
  <c r="S115" i="19"/>
  <c r="Q116" i="19"/>
  <c r="R116" i="19"/>
  <c r="S116" i="19"/>
  <c r="Q117" i="19"/>
  <c r="R117" i="19"/>
  <c r="S117" i="19"/>
  <c r="Q118" i="19"/>
  <c r="R118" i="19"/>
  <c r="S118" i="19"/>
  <c r="Q119" i="19"/>
  <c r="R119" i="19"/>
  <c r="S119" i="19"/>
  <c r="Q120" i="19"/>
  <c r="T120" i="19" s="1"/>
  <c r="R120" i="19"/>
  <c r="S120" i="19"/>
  <c r="Q121" i="19"/>
  <c r="R121" i="19"/>
  <c r="T121" i="19" s="1"/>
  <c r="S121" i="19"/>
  <c r="Q122" i="19"/>
  <c r="R122" i="19"/>
  <c r="S122" i="19"/>
  <c r="Q123" i="19"/>
  <c r="R123" i="19"/>
  <c r="S123" i="19"/>
  <c r="T123" i="19" s="1"/>
  <c r="Q124" i="19"/>
  <c r="T124" i="19" s="1"/>
  <c r="R124" i="19"/>
  <c r="S124" i="19"/>
  <c r="Q125" i="19"/>
  <c r="R125" i="19"/>
  <c r="S125" i="19"/>
  <c r="Q126" i="19"/>
  <c r="R126" i="19"/>
  <c r="S126" i="19"/>
  <c r="Q127" i="19"/>
  <c r="R127" i="19"/>
  <c r="T127" i="19"/>
  <c r="S127" i="19"/>
  <c r="Q128" i="19"/>
  <c r="R128" i="19"/>
  <c r="S128" i="19"/>
  <c r="Q129" i="19"/>
  <c r="R129" i="19"/>
  <c r="S129" i="19"/>
  <c r="Q130" i="19"/>
  <c r="T130" i="19" s="1"/>
  <c r="R130" i="19"/>
  <c r="S130" i="19"/>
  <c r="Q131" i="19"/>
  <c r="R131" i="19"/>
  <c r="S131" i="19"/>
  <c r="Q132" i="19"/>
  <c r="R132" i="19"/>
  <c r="S132" i="19"/>
  <c r="Q136" i="19"/>
  <c r="R136" i="19"/>
  <c r="S136" i="19"/>
  <c r="Q137" i="19"/>
  <c r="T137" i="19" s="1"/>
  <c r="R137" i="19"/>
  <c r="S137" i="19"/>
  <c r="Q138" i="19"/>
  <c r="R138" i="19"/>
  <c r="S138" i="19"/>
  <c r="Q139" i="19"/>
  <c r="R139" i="19"/>
  <c r="S139" i="19"/>
  <c r="Q140" i="19"/>
  <c r="T140" i="19" s="1"/>
  <c r="R140" i="19"/>
  <c r="S140" i="19"/>
  <c r="Q141" i="19"/>
  <c r="T141" i="19" s="1"/>
  <c r="R141" i="19"/>
  <c r="S141" i="19"/>
  <c r="Q142" i="19"/>
  <c r="R142" i="19"/>
  <c r="S142" i="19"/>
  <c r="Q143" i="19"/>
  <c r="R143" i="19"/>
  <c r="S143" i="19"/>
  <c r="Q144" i="19"/>
  <c r="R144" i="19"/>
  <c r="S144" i="19"/>
  <c r="T144" i="19" s="1"/>
  <c r="Q145" i="19"/>
  <c r="T145" i="19" s="1"/>
  <c r="R145" i="19"/>
  <c r="S145" i="19"/>
  <c r="Q146" i="19"/>
  <c r="T146" i="19" s="1"/>
  <c r="R146" i="19"/>
  <c r="S146" i="19"/>
  <c r="Q147" i="19"/>
  <c r="T147" i="19" s="1"/>
  <c r="R147" i="19"/>
  <c r="S147" i="19"/>
  <c r="Q148" i="19"/>
  <c r="R148" i="19"/>
  <c r="S148" i="19"/>
  <c r="Q149" i="19"/>
  <c r="R149" i="19"/>
  <c r="S149" i="19"/>
  <c r="Q150" i="19"/>
  <c r="R150" i="19"/>
  <c r="S150" i="19"/>
  <c r="Q151" i="19"/>
  <c r="T151" i="19" s="1"/>
  <c r="R151" i="19"/>
  <c r="S151" i="19"/>
  <c r="Q152" i="19"/>
  <c r="R152" i="19"/>
  <c r="S152" i="19"/>
  <c r="Q153" i="19"/>
  <c r="R153" i="19"/>
  <c r="S153" i="19"/>
  <c r="Q154" i="19"/>
  <c r="R154" i="19"/>
  <c r="S154" i="19"/>
  <c r="Q155" i="19"/>
  <c r="T155" i="19" s="1"/>
  <c r="R155" i="19"/>
  <c r="S155" i="19"/>
  <c r="Q156" i="19"/>
  <c r="R156" i="19"/>
  <c r="T156" i="19" s="1"/>
  <c r="S156" i="19"/>
  <c r="Q157" i="19"/>
  <c r="R157" i="19"/>
  <c r="S157" i="19"/>
  <c r="Q158" i="19"/>
  <c r="R158" i="19"/>
  <c r="S158" i="19"/>
  <c r="T158" i="19" s="1"/>
  <c r="Q159" i="19"/>
  <c r="T159" i="19" s="1"/>
  <c r="R159" i="19"/>
  <c r="S159" i="19"/>
  <c r="S162" i="19"/>
  <c r="Q163" i="19"/>
  <c r="R163" i="19"/>
  <c r="S163" i="19"/>
  <c r="Q164" i="19"/>
  <c r="R164" i="19"/>
  <c r="S164" i="19"/>
  <c r="Q165" i="19"/>
  <c r="R165" i="19"/>
  <c r="S165" i="19"/>
  <c r="Q166" i="19"/>
  <c r="R166" i="19"/>
  <c r="S166" i="19"/>
  <c r="Q167" i="19"/>
  <c r="R167" i="19"/>
  <c r="S167" i="19"/>
  <c r="Q168" i="19"/>
  <c r="R168" i="19"/>
  <c r="S168" i="19"/>
  <c r="Q169" i="19"/>
  <c r="R169" i="19"/>
  <c r="S169" i="19"/>
  <c r="Q170" i="19"/>
  <c r="R170" i="19"/>
  <c r="S170" i="19"/>
  <c r="Q171" i="19"/>
  <c r="R171" i="19"/>
  <c r="S171" i="19"/>
  <c r="Q172" i="19"/>
  <c r="R172" i="19"/>
  <c r="S172" i="19"/>
  <c r="Q173" i="19"/>
  <c r="R173" i="19"/>
  <c r="S173" i="19"/>
  <c r="Q174" i="19"/>
  <c r="R174" i="19"/>
  <c r="S174" i="19"/>
  <c r="Q175" i="19"/>
  <c r="R175" i="19"/>
  <c r="S175" i="19"/>
  <c r="Q176" i="19"/>
  <c r="R176" i="19"/>
  <c r="S176" i="19"/>
  <c r="Q177" i="19"/>
  <c r="R177" i="19"/>
  <c r="S177" i="19"/>
  <c r="Q178" i="19"/>
  <c r="R178" i="19"/>
  <c r="S178" i="19"/>
  <c r="Q179" i="19"/>
  <c r="R179" i="19"/>
  <c r="S179" i="19"/>
  <c r="Q180" i="19"/>
  <c r="R180" i="19"/>
  <c r="S180" i="19"/>
  <c r="Q181" i="19"/>
  <c r="R181" i="19"/>
  <c r="S181" i="19"/>
  <c r="Q182" i="19"/>
  <c r="R182" i="19"/>
  <c r="S182" i="19"/>
  <c r="Q183" i="19"/>
  <c r="R183" i="19"/>
  <c r="S183" i="19"/>
  <c r="Q184" i="19"/>
  <c r="R184" i="19"/>
  <c r="S184" i="19"/>
  <c r="Q185" i="19"/>
  <c r="R185" i="19"/>
  <c r="S185" i="19"/>
  <c r="Q186" i="19"/>
  <c r="R186" i="19"/>
  <c r="S186" i="19"/>
  <c r="R190" i="19"/>
  <c r="S190" i="19"/>
  <c r="Q191" i="19"/>
  <c r="R191" i="19"/>
  <c r="S191" i="19"/>
  <c r="Q192" i="19"/>
  <c r="R192" i="19"/>
  <c r="S192" i="19"/>
  <c r="Q193" i="19"/>
  <c r="R193" i="19"/>
  <c r="S193" i="19"/>
  <c r="Q194" i="19"/>
  <c r="R194" i="19"/>
  <c r="S194" i="19"/>
  <c r="Q195" i="19"/>
  <c r="R195" i="19"/>
  <c r="S195" i="19"/>
  <c r="Q196" i="19"/>
  <c r="R196" i="19"/>
  <c r="S196" i="19"/>
  <c r="Q197" i="19"/>
  <c r="R197" i="19"/>
  <c r="S197" i="19"/>
  <c r="Q198" i="19"/>
  <c r="R198" i="19"/>
  <c r="S198" i="19"/>
  <c r="Q199" i="19"/>
  <c r="R199" i="19"/>
  <c r="S199" i="19"/>
  <c r="Q200" i="19"/>
  <c r="R200" i="19"/>
  <c r="S200" i="19"/>
  <c r="Q201" i="19"/>
  <c r="R201" i="19"/>
  <c r="S201" i="19"/>
  <c r="T201" i="19" s="1"/>
  <c r="Q202" i="19"/>
  <c r="R202" i="19"/>
  <c r="S202" i="19"/>
  <c r="Q203" i="19"/>
  <c r="T203" i="19" s="1"/>
  <c r="R203" i="19"/>
  <c r="S203" i="19"/>
  <c r="Q204" i="19"/>
  <c r="R204" i="19"/>
  <c r="S204" i="19"/>
  <c r="Q205" i="19"/>
  <c r="T205" i="19" s="1"/>
  <c r="R205" i="19"/>
  <c r="S205" i="19"/>
  <c r="Q206" i="19"/>
  <c r="R206" i="19"/>
  <c r="T206" i="19" s="1"/>
  <c r="S206" i="19"/>
  <c r="Q207" i="19"/>
  <c r="R207" i="19"/>
  <c r="T207" i="19"/>
  <c r="S207" i="19"/>
  <c r="Q208" i="19"/>
  <c r="R208" i="19"/>
  <c r="S208" i="19"/>
  <c r="Q209" i="19"/>
  <c r="T209" i="19" s="1"/>
  <c r="R209" i="19"/>
  <c r="S209" i="19"/>
  <c r="Q210" i="19"/>
  <c r="R210" i="19"/>
  <c r="S210" i="19"/>
  <c r="Q211" i="19"/>
  <c r="T211" i="19" s="1"/>
  <c r="R211" i="19"/>
  <c r="S211" i="19"/>
  <c r="Q212" i="19"/>
  <c r="R212" i="19"/>
  <c r="S212" i="19"/>
  <c r="Q213" i="19"/>
  <c r="R213" i="19"/>
  <c r="S213" i="19"/>
  <c r="Q217" i="19"/>
  <c r="R217" i="19"/>
  <c r="S217" i="19"/>
  <c r="Q218" i="19"/>
  <c r="R218" i="19"/>
  <c r="S218" i="19"/>
  <c r="Q219" i="19"/>
  <c r="T219" i="19" s="1"/>
  <c r="R219" i="19"/>
  <c r="S219" i="19"/>
  <c r="Q220" i="19"/>
  <c r="R220" i="19"/>
  <c r="S220" i="19"/>
  <c r="R221" i="19"/>
  <c r="S221" i="19"/>
  <c r="R222" i="19"/>
  <c r="R223" i="19"/>
  <c r="R224" i="19"/>
  <c r="R225" i="19"/>
  <c r="R226" i="19"/>
  <c r="R227" i="19"/>
  <c r="R228" i="19"/>
  <c r="R229" i="19"/>
  <c r="R230" i="19"/>
  <c r="R231" i="19"/>
  <c r="R232" i="19"/>
  <c r="R233" i="19"/>
  <c r="R234" i="19"/>
  <c r="R235" i="19"/>
  <c r="R236" i="19"/>
  <c r="R237" i="19"/>
  <c r="R238" i="19"/>
  <c r="R239" i="19"/>
  <c r="R240" i="19"/>
  <c r="A996" i="19"/>
  <c r="A997" i="19" s="1"/>
  <c r="A998" i="19" s="1"/>
  <c r="A999" i="19" s="1"/>
  <c r="A1000" i="19" s="1"/>
  <c r="P13" i="21"/>
  <c r="P21" i="21"/>
  <c r="P29" i="21"/>
  <c r="P45" i="21"/>
  <c r="P53" i="21"/>
  <c r="P61" i="21"/>
  <c r="P69" i="21"/>
  <c r="J4" i="29"/>
  <c r="K4" i="29"/>
  <c r="L4" i="29"/>
  <c r="J5" i="29"/>
  <c r="K5" i="29"/>
  <c r="L5" i="29"/>
  <c r="J7" i="29"/>
  <c r="K7" i="29"/>
  <c r="L7" i="29"/>
  <c r="J8" i="29"/>
  <c r="K8" i="29"/>
  <c r="L8" i="29"/>
  <c r="J9" i="29"/>
  <c r="K9" i="29"/>
  <c r="L9" i="29"/>
  <c r="J10" i="29"/>
  <c r="K10" i="29"/>
  <c r="L10" i="29"/>
  <c r="J11" i="29"/>
  <c r="K11" i="29"/>
  <c r="L11" i="29"/>
  <c r="J12" i="29"/>
  <c r="K12" i="29"/>
  <c r="L12" i="29"/>
  <c r="J13" i="29"/>
  <c r="K13" i="29"/>
  <c r="L13" i="29"/>
  <c r="J14" i="29"/>
  <c r="O14" i="29" s="1"/>
  <c r="K14" i="29"/>
  <c r="L14" i="29"/>
  <c r="J15" i="29"/>
  <c r="K15" i="29"/>
  <c r="L15" i="29"/>
  <c r="J16" i="29"/>
  <c r="K16" i="29"/>
  <c r="L16" i="29"/>
  <c r="J17" i="29"/>
  <c r="K17" i="29"/>
  <c r="L17" i="29"/>
  <c r="J18" i="29"/>
  <c r="K18" i="29"/>
  <c r="L18" i="29"/>
  <c r="J19" i="29"/>
  <c r="K19" i="29"/>
  <c r="L19" i="29"/>
  <c r="J20" i="29"/>
  <c r="K20" i="29"/>
  <c r="L20" i="29"/>
  <c r="J21" i="29"/>
  <c r="K21" i="29"/>
  <c r="L21" i="29"/>
  <c r="O21" i="29" s="1"/>
  <c r="J22" i="29"/>
  <c r="M22" i="29" s="1"/>
  <c r="K22" i="29"/>
  <c r="L22" i="29"/>
  <c r="J23" i="29"/>
  <c r="K23" i="29"/>
  <c r="L23" i="29"/>
  <c r="J24" i="29"/>
  <c r="K24" i="29"/>
  <c r="L24" i="29"/>
  <c r="J25" i="29"/>
  <c r="K25" i="29"/>
  <c r="L25" i="29"/>
  <c r="J26" i="29"/>
  <c r="K26" i="29"/>
  <c r="L26" i="29"/>
  <c r="J27" i="29"/>
  <c r="K27" i="29"/>
  <c r="L27" i="29"/>
  <c r="J28" i="29"/>
  <c r="K28" i="29"/>
  <c r="L28" i="29"/>
  <c r="B29" i="29"/>
  <c r="C29" i="29"/>
  <c r="D29" i="29"/>
  <c r="E29" i="29"/>
  <c r="F29" i="29"/>
  <c r="G29" i="29"/>
  <c r="H29" i="29"/>
  <c r="I29" i="29"/>
  <c r="J29" i="29"/>
  <c r="J30" i="29"/>
  <c r="K30" i="29"/>
  <c r="L30" i="29"/>
  <c r="J32" i="29"/>
  <c r="K32" i="29"/>
  <c r="L32" i="29"/>
  <c r="J33" i="29"/>
  <c r="K33" i="29"/>
  <c r="M33" i="29" s="1"/>
  <c r="L33" i="29"/>
  <c r="J34" i="29"/>
  <c r="K34" i="29"/>
  <c r="L34" i="29"/>
  <c r="J35" i="29"/>
  <c r="K35" i="29"/>
  <c r="L35" i="29"/>
  <c r="B36" i="29"/>
  <c r="C36" i="29"/>
  <c r="D36" i="29"/>
  <c r="E36" i="29"/>
  <c r="F36" i="29"/>
  <c r="G36" i="29"/>
  <c r="G43" i="29" s="1"/>
  <c r="H36" i="29"/>
  <c r="I36" i="29"/>
  <c r="J37" i="29"/>
  <c r="K37" i="29"/>
  <c r="L37" i="29"/>
  <c r="J39" i="29"/>
  <c r="K39" i="29"/>
  <c r="L39" i="29"/>
  <c r="J40" i="29"/>
  <c r="K40" i="29"/>
  <c r="L40" i="29"/>
  <c r="J41" i="29"/>
  <c r="K41" i="29"/>
  <c r="L41" i="29"/>
  <c r="J42" i="29"/>
  <c r="K42" i="29"/>
  <c r="L42" i="29"/>
  <c r="I43" i="29"/>
  <c r="G4" i="28"/>
  <c r="K4" i="28"/>
  <c r="R4" i="28" s="1"/>
  <c r="P4" i="28"/>
  <c r="Q4" i="28"/>
  <c r="G5" i="28"/>
  <c r="K5" i="28"/>
  <c r="R5" i="28" s="1"/>
  <c r="P5" i="28"/>
  <c r="Q5" i="28"/>
  <c r="G6" i="28"/>
  <c r="K6" i="28"/>
  <c r="R6" i="28" s="1"/>
  <c r="P6" i="28"/>
  <c r="Q6" i="28"/>
  <c r="G7" i="28"/>
  <c r="K7" i="28"/>
  <c r="R7" i="28" s="1"/>
  <c r="P7" i="28"/>
  <c r="Q7" i="28"/>
  <c r="G8" i="28"/>
  <c r="K8" i="28"/>
  <c r="P8" i="28"/>
  <c r="Q8" i="28"/>
  <c r="R8" i="28"/>
  <c r="G9" i="28"/>
  <c r="K9" i="28"/>
  <c r="R9" i="28" s="1"/>
  <c r="P9" i="28"/>
  <c r="Q9" i="28"/>
  <c r="G10" i="28"/>
  <c r="K10" i="28"/>
  <c r="R10" i="28" s="1"/>
  <c r="P10" i="28"/>
  <c r="Q10" i="28"/>
  <c r="G11" i="28"/>
  <c r="K11" i="28"/>
  <c r="R11" i="28" s="1"/>
  <c r="P11" i="28"/>
  <c r="Q11" i="28"/>
  <c r="G12" i="28"/>
  <c r="K12" i="28"/>
  <c r="R12" i="28" s="1"/>
  <c r="P12" i="28"/>
  <c r="Q12" i="28"/>
  <c r="G13" i="28"/>
  <c r="K13" i="28"/>
  <c r="R13" i="28"/>
  <c r="P13" i="28"/>
  <c r="Q13" i="28"/>
  <c r="G14" i="28"/>
  <c r="K14" i="28"/>
  <c r="R14" i="28" s="1"/>
  <c r="P14" i="28"/>
  <c r="Q14" i="28"/>
  <c r="G15" i="28"/>
  <c r="K15" i="28"/>
  <c r="R15" i="28" s="1"/>
  <c r="P15" i="28"/>
  <c r="Q15" i="28"/>
  <c r="G16" i="28"/>
  <c r="K16" i="28"/>
  <c r="R16" i="28" s="1"/>
  <c r="P16" i="28"/>
  <c r="Q16" i="28"/>
  <c r="G17" i="28"/>
  <c r="K17" i="28"/>
  <c r="R17" i="28" s="1"/>
  <c r="P17" i="28"/>
  <c r="Q17" i="28"/>
  <c r="G18" i="28"/>
  <c r="K18" i="28"/>
  <c r="R18" i="28" s="1"/>
  <c r="P18" i="28"/>
  <c r="Q18" i="28"/>
  <c r="G19" i="28"/>
  <c r="K19" i="28"/>
  <c r="R19" i="28" s="1"/>
  <c r="P19" i="28"/>
  <c r="Q19" i="28"/>
  <c r="G20" i="28"/>
  <c r="K20" i="28"/>
  <c r="R20" i="28" s="1"/>
  <c r="P20" i="28"/>
  <c r="Q20" i="28"/>
  <c r="G21" i="28"/>
  <c r="K21" i="28"/>
  <c r="R21" i="28" s="1"/>
  <c r="S21" i="28" s="1"/>
  <c r="P21" i="28"/>
  <c r="Q21" i="28"/>
  <c r="G22" i="28"/>
  <c r="K22" i="28"/>
  <c r="R22" i="28" s="1"/>
  <c r="P22" i="28"/>
  <c r="Q22" i="28"/>
  <c r="G23" i="28"/>
  <c r="K23" i="28"/>
  <c r="R23" i="28" s="1"/>
  <c r="P23" i="28"/>
  <c r="Q23" i="28"/>
  <c r="G24" i="28"/>
  <c r="K24" i="28"/>
  <c r="R24" i="28" s="1"/>
  <c r="U24" i="28" s="1"/>
  <c r="P24" i="28"/>
  <c r="Q24" i="28"/>
  <c r="G25" i="28"/>
  <c r="K25" i="28"/>
  <c r="R25" i="28" s="1"/>
  <c r="P25" i="28"/>
  <c r="Q25" i="28"/>
  <c r="G26" i="28"/>
  <c r="K26" i="28"/>
  <c r="R26" i="28" s="1"/>
  <c r="P26" i="28"/>
  <c r="Q26" i="28"/>
  <c r="G27" i="28"/>
  <c r="K27" i="28"/>
  <c r="R27" i="28" s="1"/>
  <c r="P27" i="28"/>
  <c r="Q27" i="28"/>
  <c r="G28" i="28"/>
  <c r="K28" i="28"/>
  <c r="P28" i="28"/>
  <c r="Q28" i="28"/>
  <c r="R28" i="28"/>
  <c r="B29" i="28"/>
  <c r="P29" i="28" s="1"/>
  <c r="D29" i="28"/>
  <c r="E29" i="28"/>
  <c r="F29" i="28"/>
  <c r="H29" i="28"/>
  <c r="K29" i="28" s="1"/>
  <c r="M29" i="28"/>
  <c r="M43" i="28" s="1"/>
  <c r="M44" i="27" s="1"/>
  <c r="N29" i="28"/>
  <c r="O29" i="28"/>
  <c r="G30" i="28"/>
  <c r="K30" i="28"/>
  <c r="R30" i="28" s="1"/>
  <c r="P30" i="28"/>
  <c r="Q30" i="28"/>
  <c r="G31" i="28"/>
  <c r="K31" i="28"/>
  <c r="R31" i="28" s="1"/>
  <c r="P31" i="28"/>
  <c r="Q31" i="28"/>
  <c r="G32" i="28"/>
  <c r="K32" i="28"/>
  <c r="R32" i="28" s="1"/>
  <c r="U32" i="28" s="1"/>
  <c r="P32" i="28"/>
  <c r="Q32" i="28"/>
  <c r="G33" i="28"/>
  <c r="K33" i="28"/>
  <c r="R33" i="28" s="1"/>
  <c r="P33" i="28"/>
  <c r="Q33" i="28"/>
  <c r="G34" i="28"/>
  <c r="K34" i="28"/>
  <c r="R34" i="28" s="1"/>
  <c r="U34" i="28" s="1"/>
  <c r="P34" i="28"/>
  <c r="Q34" i="28"/>
  <c r="G35" i="28"/>
  <c r="K35" i="28"/>
  <c r="R35" i="28" s="1"/>
  <c r="P35" i="28"/>
  <c r="Q35" i="28"/>
  <c r="B36" i="28"/>
  <c r="D36" i="28"/>
  <c r="D43" i="28" s="1"/>
  <c r="D44" i="27" s="1"/>
  <c r="E36" i="28"/>
  <c r="F36" i="28"/>
  <c r="F43" i="28" s="1"/>
  <c r="F44" i="27" s="1"/>
  <c r="H36" i="28"/>
  <c r="J36" i="28"/>
  <c r="O36" i="28"/>
  <c r="O43" i="28" s="1"/>
  <c r="O44" i="27" s="1"/>
  <c r="G37" i="28"/>
  <c r="K37" i="28"/>
  <c r="R37" i="28" s="1"/>
  <c r="P37" i="28"/>
  <c r="Q37" i="28"/>
  <c r="G38" i="28"/>
  <c r="K38" i="28"/>
  <c r="R38" i="28" s="1"/>
  <c r="P38" i="28"/>
  <c r="Q38" i="28"/>
  <c r="G39" i="28"/>
  <c r="K39" i="28"/>
  <c r="R39" i="28" s="1"/>
  <c r="P39" i="28"/>
  <c r="Q39" i="28"/>
  <c r="G40" i="28"/>
  <c r="K40" i="28"/>
  <c r="R40" i="28" s="1"/>
  <c r="P40" i="28"/>
  <c r="Q40" i="28"/>
  <c r="G41" i="28"/>
  <c r="K41" i="28"/>
  <c r="R41" i="28" s="1"/>
  <c r="P41" i="28"/>
  <c r="Q41" i="28"/>
  <c r="G42" i="28"/>
  <c r="K42" i="28"/>
  <c r="R42" i="28" s="1"/>
  <c r="P42" i="28"/>
  <c r="Q42" i="28"/>
  <c r="C43" i="28"/>
  <c r="I43" i="28"/>
  <c r="I44" i="27" s="1"/>
  <c r="L43" i="28"/>
  <c r="L44" i="27" s="1"/>
  <c r="N43" i="28"/>
  <c r="N44" i="27" s="1"/>
  <c r="G48" i="28"/>
  <c r="K48" i="28"/>
  <c r="G49" i="28"/>
  <c r="K49" i="28"/>
  <c r="P4" i="27"/>
  <c r="Q4" i="27"/>
  <c r="R4" i="27"/>
  <c r="P5" i="27"/>
  <c r="Q5" i="27"/>
  <c r="R5" i="27"/>
  <c r="P6" i="27"/>
  <c r="Q6" i="27"/>
  <c r="R6" i="27"/>
  <c r="P7" i="27"/>
  <c r="Q7" i="27"/>
  <c r="R7" i="27"/>
  <c r="P8" i="27"/>
  <c r="Q8" i="27"/>
  <c r="R8" i="27"/>
  <c r="P9" i="27"/>
  <c r="Q9" i="27"/>
  <c r="R9" i="27"/>
  <c r="P10" i="27"/>
  <c r="Q10" i="27"/>
  <c r="R10" i="27"/>
  <c r="P11" i="27"/>
  <c r="Q11" i="27"/>
  <c r="U11" i="27" s="1"/>
  <c r="R11" i="27"/>
  <c r="P12" i="27"/>
  <c r="Q12" i="27"/>
  <c r="R12" i="27"/>
  <c r="P13" i="27"/>
  <c r="Q13" i="27"/>
  <c r="R13" i="27"/>
  <c r="P14" i="27"/>
  <c r="U14" i="27" s="1"/>
  <c r="Q14" i="27"/>
  <c r="R14" i="27"/>
  <c r="P15" i="27"/>
  <c r="Q15" i="27"/>
  <c r="R15" i="27"/>
  <c r="P16" i="27"/>
  <c r="U16" i="27" s="1"/>
  <c r="Q16" i="27"/>
  <c r="S16" i="27" s="1"/>
  <c r="R16" i="27"/>
  <c r="P17" i="27"/>
  <c r="Q17" i="27"/>
  <c r="R17" i="27"/>
  <c r="P18" i="27"/>
  <c r="Q18" i="27"/>
  <c r="R18" i="27"/>
  <c r="P19" i="27"/>
  <c r="Q19" i="27"/>
  <c r="R19" i="27"/>
  <c r="P20" i="27"/>
  <c r="Q20" i="27"/>
  <c r="R20" i="27"/>
  <c r="P21" i="27"/>
  <c r="Q21" i="27"/>
  <c r="R21" i="27"/>
  <c r="P22" i="27"/>
  <c r="Q22" i="27"/>
  <c r="R22" i="27"/>
  <c r="P23" i="27"/>
  <c r="Q23" i="27"/>
  <c r="R23" i="27"/>
  <c r="P24" i="27"/>
  <c r="Q24" i="27"/>
  <c r="R24" i="27"/>
  <c r="U24" i="27" s="1"/>
  <c r="P25" i="27"/>
  <c r="Q25" i="27"/>
  <c r="R25" i="27"/>
  <c r="P26" i="27"/>
  <c r="U26" i="27" s="1"/>
  <c r="Q26" i="27"/>
  <c r="R26" i="27"/>
  <c r="P27" i="27"/>
  <c r="U27" i="27" s="1"/>
  <c r="Q27" i="27"/>
  <c r="R27" i="27"/>
  <c r="P28" i="27"/>
  <c r="Q28" i="27"/>
  <c r="R28" i="27"/>
  <c r="B29" i="27"/>
  <c r="D29" i="27"/>
  <c r="E29" i="27"/>
  <c r="F29" i="27"/>
  <c r="H29" i="27"/>
  <c r="J29" i="27"/>
  <c r="M29" i="27"/>
  <c r="M43" i="27" s="1"/>
  <c r="O29" i="27"/>
  <c r="P29" i="27"/>
  <c r="P30" i="27"/>
  <c r="Q30" i="27"/>
  <c r="R30" i="27"/>
  <c r="P31" i="27"/>
  <c r="Q31" i="27"/>
  <c r="R31" i="27"/>
  <c r="P32" i="27"/>
  <c r="Q32" i="27"/>
  <c r="R32" i="27"/>
  <c r="P33" i="27"/>
  <c r="Q33" i="27"/>
  <c r="R33" i="27"/>
  <c r="P34" i="27"/>
  <c r="Q34" i="27"/>
  <c r="R34" i="27"/>
  <c r="P35" i="27"/>
  <c r="Q35" i="27"/>
  <c r="R35" i="27"/>
  <c r="B36" i="27"/>
  <c r="D36" i="27"/>
  <c r="E36" i="27"/>
  <c r="F36" i="27"/>
  <c r="H36" i="27"/>
  <c r="J36" i="27"/>
  <c r="N36" i="27"/>
  <c r="N43" i="27" s="1"/>
  <c r="O36" i="27"/>
  <c r="P37" i="27"/>
  <c r="Q37" i="27"/>
  <c r="R37" i="27"/>
  <c r="P38" i="27"/>
  <c r="Q38" i="27"/>
  <c r="R38" i="27"/>
  <c r="P39" i="27"/>
  <c r="S39" i="27" s="1"/>
  <c r="Q39" i="27"/>
  <c r="R39" i="27"/>
  <c r="P40" i="27"/>
  <c r="Q40" i="27"/>
  <c r="R40" i="27"/>
  <c r="P41" i="27"/>
  <c r="Q41" i="27"/>
  <c r="R41" i="27"/>
  <c r="P42" i="27"/>
  <c r="Q42" i="27"/>
  <c r="R42" i="27"/>
  <c r="C43" i="27"/>
  <c r="C45" i="27" s="1"/>
  <c r="H43" i="27"/>
  <c r="H44" i="26" s="1"/>
  <c r="I43" i="27"/>
  <c r="I44" i="26" s="1"/>
  <c r="L43" i="27"/>
  <c r="L44" i="26" s="1"/>
  <c r="C44" i="27"/>
  <c r="G4" i="26"/>
  <c r="K4" i="26"/>
  <c r="R4" i="26" s="1"/>
  <c r="P4" i="26"/>
  <c r="Q4" i="26"/>
  <c r="G5" i="26"/>
  <c r="K5" i="26"/>
  <c r="R5" i="26"/>
  <c r="U5" i="26" s="1"/>
  <c r="P5" i="26"/>
  <c r="Q5" i="26"/>
  <c r="G6" i="26"/>
  <c r="K6" i="26"/>
  <c r="R6" i="26" s="1"/>
  <c r="P6" i="26"/>
  <c r="Q6" i="26"/>
  <c r="G7" i="26"/>
  <c r="K7" i="26"/>
  <c r="P7" i="26"/>
  <c r="Q7" i="26"/>
  <c r="R7" i="26"/>
  <c r="G8" i="26"/>
  <c r="K8" i="26"/>
  <c r="R8" i="26" s="1"/>
  <c r="P8" i="26"/>
  <c r="Q8" i="26"/>
  <c r="G9" i="26"/>
  <c r="K9" i="26"/>
  <c r="R9" i="26"/>
  <c r="P9" i="26"/>
  <c r="S9" i="26" s="1"/>
  <c r="Q9" i="26"/>
  <c r="G10" i="26"/>
  <c r="K10" i="26"/>
  <c r="R10" i="26" s="1"/>
  <c r="P10" i="26"/>
  <c r="Q10" i="26"/>
  <c r="G11" i="26"/>
  <c r="K11" i="26"/>
  <c r="R11" i="26" s="1"/>
  <c r="P11" i="26"/>
  <c r="Q11" i="26"/>
  <c r="G12" i="26"/>
  <c r="K12" i="26"/>
  <c r="R12" i="26" s="1"/>
  <c r="P12" i="26"/>
  <c r="Q12" i="26"/>
  <c r="G13" i="26"/>
  <c r="K13" i="26"/>
  <c r="R13" i="26" s="1"/>
  <c r="P13" i="26"/>
  <c r="Q13" i="26"/>
  <c r="G14" i="26"/>
  <c r="K14" i="26"/>
  <c r="R14" i="26" s="1"/>
  <c r="P14" i="26"/>
  <c r="Q14" i="26"/>
  <c r="G15" i="26"/>
  <c r="K15" i="26"/>
  <c r="R15" i="26" s="1"/>
  <c r="P15" i="26"/>
  <c r="Q15" i="26"/>
  <c r="G16" i="26"/>
  <c r="K16" i="26"/>
  <c r="R16" i="26" s="1"/>
  <c r="P16" i="26"/>
  <c r="Q16" i="26"/>
  <c r="G17" i="26"/>
  <c r="K17" i="26"/>
  <c r="R17" i="26" s="1"/>
  <c r="P17" i="26"/>
  <c r="Q17" i="26"/>
  <c r="G18" i="26"/>
  <c r="K18" i="26"/>
  <c r="R18" i="26" s="1"/>
  <c r="P18" i="26"/>
  <c r="Q18" i="26"/>
  <c r="G19" i="26"/>
  <c r="K19" i="26"/>
  <c r="R19" i="26" s="1"/>
  <c r="P19" i="26"/>
  <c r="Q19" i="26"/>
  <c r="G20" i="26"/>
  <c r="K20" i="26"/>
  <c r="R20" i="26" s="1"/>
  <c r="P20" i="26"/>
  <c r="Q20" i="26"/>
  <c r="G21" i="26"/>
  <c r="K21" i="26"/>
  <c r="R21" i="26"/>
  <c r="P21" i="26"/>
  <c r="Q21" i="26"/>
  <c r="G22" i="26"/>
  <c r="K22" i="26"/>
  <c r="R22" i="26" s="1"/>
  <c r="P22" i="26"/>
  <c r="U22" i="26" s="1"/>
  <c r="Q22" i="26"/>
  <c r="G23" i="26"/>
  <c r="K23" i="26"/>
  <c r="R23" i="26" s="1"/>
  <c r="P23" i="26"/>
  <c r="Q23" i="26"/>
  <c r="G24" i="26"/>
  <c r="K24" i="26"/>
  <c r="R24" i="26" s="1"/>
  <c r="P24" i="26"/>
  <c r="Q24" i="26"/>
  <c r="G25" i="26"/>
  <c r="K25" i="26"/>
  <c r="R25" i="26" s="1"/>
  <c r="P25" i="26"/>
  <c r="Q25" i="26"/>
  <c r="G26" i="26"/>
  <c r="K26" i="26"/>
  <c r="R26" i="26" s="1"/>
  <c r="P26" i="26"/>
  <c r="Q26" i="26"/>
  <c r="G27" i="26"/>
  <c r="K27" i="26"/>
  <c r="R27" i="26" s="1"/>
  <c r="P27" i="26"/>
  <c r="Q27" i="26"/>
  <c r="G28" i="26"/>
  <c r="K28" i="26"/>
  <c r="R28" i="26" s="1"/>
  <c r="P28" i="26"/>
  <c r="Q28" i="26"/>
  <c r="G29" i="26"/>
  <c r="K29" i="26"/>
  <c r="R29" i="26" s="1"/>
  <c r="P29" i="26"/>
  <c r="Q29" i="26"/>
  <c r="B30" i="26"/>
  <c r="C30" i="26"/>
  <c r="D30" i="26"/>
  <c r="E30" i="26"/>
  <c r="F30" i="26"/>
  <c r="H30" i="26"/>
  <c r="K30" i="26"/>
  <c r="M30" i="26"/>
  <c r="O30" i="26"/>
  <c r="G31" i="26"/>
  <c r="K31" i="26"/>
  <c r="R31" i="26" s="1"/>
  <c r="P31" i="26"/>
  <c r="Q31" i="26"/>
  <c r="G32" i="26"/>
  <c r="K32" i="26"/>
  <c r="R32" i="26" s="1"/>
  <c r="P32" i="26"/>
  <c r="Q32" i="26"/>
  <c r="G33" i="26"/>
  <c r="K33" i="26"/>
  <c r="R33" i="26" s="1"/>
  <c r="P33" i="26"/>
  <c r="Q33" i="26"/>
  <c r="G34" i="26"/>
  <c r="K34" i="26"/>
  <c r="R34" i="26" s="1"/>
  <c r="P34" i="26"/>
  <c r="Q34" i="26"/>
  <c r="G35" i="26"/>
  <c r="K35" i="26"/>
  <c r="R35" i="26" s="1"/>
  <c r="P35" i="26"/>
  <c r="Q35" i="26"/>
  <c r="B36" i="26"/>
  <c r="D36" i="26"/>
  <c r="E36" i="26"/>
  <c r="F36" i="26"/>
  <c r="H36" i="26"/>
  <c r="H43" i="26"/>
  <c r="H44" i="25" s="1"/>
  <c r="J36" i="26"/>
  <c r="J43" i="26" s="1"/>
  <c r="J44" i="25" s="1"/>
  <c r="N36" i="26"/>
  <c r="O36" i="26"/>
  <c r="O43" i="26" s="1"/>
  <c r="G37" i="26"/>
  <c r="K37" i="26"/>
  <c r="R37" i="26"/>
  <c r="P37" i="26"/>
  <c r="Q37" i="26"/>
  <c r="G38" i="26"/>
  <c r="K38" i="26"/>
  <c r="R38" i="26"/>
  <c r="P38" i="26"/>
  <c r="U38" i="26" s="1"/>
  <c r="Q38" i="26"/>
  <c r="G39" i="26"/>
  <c r="K39" i="26"/>
  <c r="R39" i="26" s="1"/>
  <c r="P39" i="26"/>
  <c r="Q39" i="26"/>
  <c r="G40" i="26"/>
  <c r="K40" i="26"/>
  <c r="R40" i="26"/>
  <c r="P40" i="26"/>
  <c r="Q40" i="26"/>
  <c r="G41" i="26"/>
  <c r="K41" i="26"/>
  <c r="R41" i="26" s="1"/>
  <c r="S41" i="26" s="1"/>
  <c r="P41" i="26"/>
  <c r="Q41" i="26"/>
  <c r="G42" i="26"/>
  <c r="K42" i="26"/>
  <c r="R42" i="26" s="1"/>
  <c r="P42" i="26"/>
  <c r="Q42" i="26"/>
  <c r="C43" i="26"/>
  <c r="C44" i="25" s="1"/>
  <c r="I43" i="26"/>
  <c r="I44" i="25" s="1"/>
  <c r="L43" i="26"/>
  <c r="L44" i="25" s="1"/>
  <c r="N43" i="26"/>
  <c r="C44" i="26"/>
  <c r="G49" i="26"/>
  <c r="K49" i="26"/>
  <c r="G50" i="26"/>
  <c r="K50" i="26"/>
  <c r="G4" i="25"/>
  <c r="K4" i="25"/>
  <c r="R4" i="25"/>
  <c r="P4" i="25"/>
  <c r="Q4" i="25"/>
  <c r="G5" i="25"/>
  <c r="K5" i="25"/>
  <c r="R5" i="25" s="1"/>
  <c r="P5" i="25"/>
  <c r="S5" i="25" s="1"/>
  <c r="Q5" i="25"/>
  <c r="G6" i="25"/>
  <c r="K6" i="25"/>
  <c r="R6" i="25" s="1"/>
  <c r="P6" i="25"/>
  <c r="Q6" i="25"/>
  <c r="G7" i="25"/>
  <c r="K7" i="25"/>
  <c r="R7" i="25"/>
  <c r="P7" i="25"/>
  <c r="Q7" i="25"/>
  <c r="G8" i="25"/>
  <c r="K8" i="25"/>
  <c r="R8" i="25" s="1"/>
  <c r="P8" i="25"/>
  <c r="Q8" i="25"/>
  <c r="G9" i="25"/>
  <c r="K9" i="25"/>
  <c r="R9" i="25" s="1"/>
  <c r="P9" i="25"/>
  <c r="Q9" i="25"/>
  <c r="G10" i="25"/>
  <c r="K10" i="25"/>
  <c r="R10" i="25" s="1"/>
  <c r="P10" i="25"/>
  <c r="Q10" i="25"/>
  <c r="G11" i="25"/>
  <c r="K11" i="25"/>
  <c r="R11" i="25" s="1"/>
  <c r="S11" i="25" s="1"/>
  <c r="P11" i="25"/>
  <c r="Q11" i="25"/>
  <c r="G12" i="25"/>
  <c r="K12" i="25"/>
  <c r="R12" i="25" s="1"/>
  <c r="P12" i="25"/>
  <c r="Q12" i="25"/>
  <c r="G13" i="25"/>
  <c r="K13" i="25"/>
  <c r="R13" i="25"/>
  <c r="P13" i="25"/>
  <c r="Q13" i="25"/>
  <c r="G14" i="25"/>
  <c r="K14" i="25"/>
  <c r="R14" i="25" s="1"/>
  <c r="P14" i="25"/>
  <c r="Q14" i="25"/>
  <c r="G15" i="25"/>
  <c r="K15" i="25"/>
  <c r="R15" i="25" s="1"/>
  <c r="P15" i="25"/>
  <c r="Q15" i="25"/>
  <c r="G16" i="25"/>
  <c r="K16" i="25"/>
  <c r="R16" i="25" s="1"/>
  <c r="P16" i="25"/>
  <c r="Q16" i="25"/>
  <c r="G17" i="25"/>
  <c r="K17" i="25"/>
  <c r="R17" i="25" s="1"/>
  <c r="P17" i="25"/>
  <c r="Q17" i="25"/>
  <c r="G18" i="25"/>
  <c r="K18" i="25"/>
  <c r="R18" i="25" s="1"/>
  <c r="U18" i="25" s="1"/>
  <c r="P18" i="25"/>
  <c r="Q18" i="25"/>
  <c r="G19" i="25"/>
  <c r="K19" i="25"/>
  <c r="R19" i="25" s="1"/>
  <c r="P19" i="25"/>
  <c r="Q19" i="25"/>
  <c r="G20" i="25"/>
  <c r="K20" i="25"/>
  <c r="R20" i="25" s="1"/>
  <c r="P20" i="25"/>
  <c r="Q20" i="25"/>
  <c r="G21" i="25"/>
  <c r="K21" i="25"/>
  <c r="R21" i="25" s="1"/>
  <c r="P21" i="25"/>
  <c r="Q21" i="25"/>
  <c r="G22" i="25"/>
  <c r="K22" i="25"/>
  <c r="R22" i="25" s="1"/>
  <c r="P22" i="25"/>
  <c r="Q22" i="25"/>
  <c r="G23" i="25"/>
  <c r="K23" i="25"/>
  <c r="R23" i="25" s="1"/>
  <c r="P23" i="25"/>
  <c r="Q23" i="25"/>
  <c r="G24" i="25"/>
  <c r="K24" i="25"/>
  <c r="R24" i="25" s="1"/>
  <c r="P24" i="25"/>
  <c r="Q24" i="25"/>
  <c r="G25" i="25"/>
  <c r="K25" i="25"/>
  <c r="R25" i="25" s="1"/>
  <c r="P25" i="25"/>
  <c r="Q25" i="25"/>
  <c r="G26" i="25"/>
  <c r="K26" i="25"/>
  <c r="R26" i="25" s="1"/>
  <c r="P26" i="25"/>
  <c r="Q26" i="25"/>
  <c r="G27" i="25"/>
  <c r="K27" i="25"/>
  <c r="R27" i="25" s="1"/>
  <c r="P27" i="25"/>
  <c r="Q27" i="25"/>
  <c r="G28" i="25"/>
  <c r="K28" i="25"/>
  <c r="R28" i="25" s="1"/>
  <c r="U28" i="25" s="1"/>
  <c r="P28" i="25"/>
  <c r="Q28" i="25"/>
  <c r="B29" i="25"/>
  <c r="C29" i="25"/>
  <c r="D29" i="25"/>
  <c r="E29" i="25"/>
  <c r="F29" i="25"/>
  <c r="H29" i="25"/>
  <c r="I29" i="25"/>
  <c r="L29" i="25"/>
  <c r="M29" i="25"/>
  <c r="N29" i="25"/>
  <c r="O29" i="25"/>
  <c r="G30" i="25"/>
  <c r="K30" i="25"/>
  <c r="R30" i="25" s="1"/>
  <c r="P30" i="25"/>
  <c r="Q30" i="25"/>
  <c r="G31" i="25"/>
  <c r="K31" i="25"/>
  <c r="R31" i="25" s="1"/>
  <c r="P31" i="25"/>
  <c r="Q31" i="25"/>
  <c r="G32" i="25"/>
  <c r="K32" i="25"/>
  <c r="R32" i="25" s="1"/>
  <c r="U32" i="25" s="1"/>
  <c r="P32" i="25"/>
  <c r="Q32" i="25"/>
  <c r="G33" i="25"/>
  <c r="K33" i="25"/>
  <c r="R33" i="25" s="1"/>
  <c r="P33" i="25"/>
  <c r="Q33" i="25"/>
  <c r="G34" i="25"/>
  <c r="K34" i="25"/>
  <c r="R34" i="25"/>
  <c r="P34" i="25"/>
  <c r="Q34" i="25"/>
  <c r="G35" i="25"/>
  <c r="K35" i="25"/>
  <c r="R35" i="25" s="1"/>
  <c r="P35" i="25"/>
  <c r="Q35" i="25"/>
  <c r="B36" i="25"/>
  <c r="C36" i="25"/>
  <c r="C43" i="25"/>
  <c r="D36" i="25"/>
  <c r="E36" i="25"/>
  <c r="E43" i="25"/>
  <c r="E44" i="24" s="1"/>
  <c r="F36" i="25"/>
  <c r="Q36" i="25" s="1"/>
  <c r="H36" i="25"/>
  <c r="K36" i="25" s="1"/>
  <c r="J36" i="25"/>
  <c r="M36" i="25"/>
  <c r="M43" i="25"/>
  <c r="N36" i="25"/>
  <c r="O36" i="25"/>
  <c r="O43" i="25"/>
  <c r="G37" i="25"/>
  <c r="K37" i="25"/>
  <c r="R37" i="25" s="1"/>
  <c r="P37" i="25"/>
  <c r="Q37" i="25"/>
  <c r="G38" i="25"/>
  <c r="K38" i="25"/>
  <c r="R38" i="25" s="1"/>
  <c r="P38" i="25"/>
  <c r="Q38" i="25"/>
  <c r="G39" i="25"/>
  <c r="K39" i="25"/>
  <c r="R39" i="25" s="1"/>
  <c r="P39" i="25"/>
  <c r="Q39" i="25"/>
  <c r="G40" i="25"/>
  <c r="K40" i="25"/>
  <c r="R40" i="25" s="1"/>
  <c r="P40" i="25"/>
  <c r="Q40" i="25"/>
  <c r="G41" i="25"/>
  <c r="K41" i="25"/>
  <c r="R41" i="25"/>
  <c r="P41" i="25"/>
  <c r="Q41" i="25"/>
  <c r="G42" i="25"/>
  <c r="K42" i="25"/>
  <c r="R42" i="25" s="1"/>
  <c r="P42" i="25"/>
  <c r="Q42" i="25"/>
  <c r="D43" i="25"/>
  <c r="J43" i="25"/>
  <c r="J44" i="24" s="1"/>
  <c r="L43" i="25"/>
  <c r="L45" i="25" s="1"/>
  <c r="O44" i="25"/>
  <c r="G48" i="25"/>
  <c r="K48" i="25"/>
  <c r="G49" i="25"/>
  <c r="K49" i="25"/>
  <c r="G4" i="24"/>
  <c r="K4" i="24"/>
  <c r="O4" i="24"/>
  <c r="Q4" i="24"/>
  <c r="R4" i="24"/>
  <c r="G5" i="24"/>
  <c r="K5" i="24"/>
  <c r="O5" i="24"/>
  <c r="Q5" i="24"/>
  <c r="R5" i="24"/>
  <c r="G6" i="24"/>
  <c r="K6" i="24"/>
  <c r="S6" i="24" s="1"/>
  <c r="O6" i="24"/>
  <c r="Q6" i="24"/>
  <c r="R6" i="24"/>
  <c r="G7" i="24"/>
  <c r="K7" i="24"/>
  <c r="O7" i="24"/>
  <c r="Q7" i="24"/>
  <c r="R7" i="24"/>
  <c r="G8" i="24"/>
  <c r="K8" i="24"/>
  <c r="S8" i="24"/>
  <c r="O8" i="24"/>
  <c r="Q8" i="24"/>
  <c r="R8" i="24"/>
  <c r="G9" i="24"/>
  <c r="K9" i="24"/>
  <c r="S9" i="24" s="1"/>
  <c r="O9" i="24"/>
  <c r="Q9" i="24"/>
  <c r="R9" i="24"/>
  <c r="G10" i="24"/>
  <c r="K10" i="24"/>
  <c r="O10" i="24"/>
  <c r="Q10" i="24"/>
  <c r="R10" i="24"/>
  <c r="G11" i="24"/>
  <c r="K11" i="24"/>
  <c r="S11" i="24" s="1"/>
  <c r="T11" i="24" s="1"/>
  <c r="O11" i="24"/>
  <c r="Q11" i="24"/>
  <c r="R11" i="24"/>
  <c r="G12" i="24"/>
  <c r="K12" i="24"/>
  <c r="S12" i="24" s="1"/>
  <c r="O12" i="24"/>
  <c r="Q12" i="24"/>
  <c r="R12" i="24"/>
  <c r="G13" i="24"/>
  <c r="K13" i="24"/>
  <c r="O13" i="24"/>
  <c r="S13" i="24" s="1"/>
  <c r="Q13" i="24"/>
  <c r="R13" i="24"/>
  <c r="G14" i="24"/>
  <c r="K14" i="24"/>
  <c r="S14" i="24" s="1"/>
  <c r="O14" i="24"/>
  <c r="Q14" i="24"/>
  <c r="R14" i="24"/>
  <c r="G15" i="24"/>
  <c r="K15" i="24"/>
  <c r="O15" i="24"/>
  <c r="Q15" i="24"/>
  <c r="R15" i="24"/>
  <c r="G16" i="24"/>
  <c r="K16" i="24"/>
  <c r="S16" i="24" s="1"/>
  <c r="O16" i="24"/>
  <c r="Q16" i="24"/>
  <c r="R16" i="24"/>
  <c r="G17" i="24"/>
  <c r="K17" i="24"/>
  <c r="O17" i="24"/>
  <c r="Q17" i="24"/>
  <c r="R17" i="24"/>
  <c r="G18" i="24"/>
  <c r="K18" i="24"/>
  <c r="S18" i="24" s="1"/>
  <c r="O18" i="24"/>
  <c r="Q18" i="24"/>
  <c r="R18" i="24"/>
  <c r="G19" i="24"/>
  <c r="K19" i="24"/>
  <c r="O19" i="24"/>
  <c r="S19" i="24"/>
  <c r="Q19" i="24"/>
  <c r="R19" i="24"/>
  <c r="G20" i="24"/>
  <c r="K20" i="24"/>
  <c r="O20" i="24"/>
  <c r="Q20" i="24"/>
  <c r="R20" i="24"/>
  <c r="G21" i="24"/>
  <c r="K21" i="24"/>
  <c r="S21" i="24" s="1"/>
  <c r="O21" i="24"/>
  <c r="Q21" i="24"/>
  <c r="R21" i="24"/>
  <c r="G22" i="24"/>
  <c r="K22" i="24"/>
  <c r="O22" i="24"/>
  <c r="Q22" i="24"/>
  <c r="R22" i="24"/>
  <c r="G23" i="24"/>
  <c r="K23" i="24"/>
  <c r="O23" i="24"/>
  <c r="Q23" i="24"/>
  <c r="R23" i="24"/>
  <c r="G24" i="24"/>
  <c r="K24" i="24"/>
  <c r="S24" i="24" s="1"/>
  <c r="O24" i="24"/>
  <c r="Q24" i="24"/>
  <c r="R24" i="24"/>
  <c r="G25" i="24"/>
  <c r="K25" i="24"/>
  <c r="S25" i="24" s="1"/>
  <c r="O25" i="24"/>
  <c r="Q25" i="24"/>
  <c r="R25" i="24"/>
  <c r="G26" i="24"/>
  <c r="K26" i="24"/>
  <c r="O26" i="24"/>
  <c r="Q26" i="24"/>
  <c r="R26" i="24"/>
  <c r="G27" i="24"/>
  <c r="K27" i="24"/>
  <c r="S27" i="24" s="1"/>
  <c r="O27" i="24"/>
  <c r="Q27" i="24"/>
  <c r="R27" i="24"/>
  <c r="G28" i="24"/>
  <c r="K28" i="24"/>
  <c r="S28" i="24" s="1"/>
  <c r="O28" i="24"/>
  <c r="Q28" i="24"/>
  <c r="R28" i="24"/>
  <c r="B29" i="24"/>
  <c r="C29" i="24"/>
  <c r="C43" i="24" s="1"/>
  <c r="C44" i="23" s="1"/>
  <c r="D29" i="24"/>
  <c r="E29" i="24"/>
  <c r="F29" i="24"/>
  <c r="H29" i="24"/>
  <c r="M29" i="24"/>
  <c r="O29" i="24" s="1"/>
  <c r="P29" i="24"/>
  <c r="G30" i="24"/>
  <c r="K30" i="24"/>
  <c r="S30" i="24" s="1"/>
  <c r="O30" i="24"/>
  <c r="Q30" i="24"/>
  <c r="R30" i="24"/>
  <c r="G31" i="24"/>
  <c r="K31" i="24"/>
  <c r="O31" i="24"/>
  <c r="Q31" i="24"/>
  <c r="R31" i="24"/>
  <c r="G32" i="24"/>
  <c r="K32" i="24"/>
  <c r="O32" i="24"/>
  <c r="Q32" i="24"/>
  <c r="R32" i="24"/>
  <c r="G33" i="24"/>
  <c r="K33" i="24"/>
  <c r="O33" i="24"/>
  <c r="Q33" i="24"/>
  <c r="R33" i="24"/>
  <c r="G34" i="24"/>
  <c r="K34" i="24"/>
  <c r="S34" i="24" s="1"/>
  <c r="T34" i="24" s="1"/>
  <c r="O34" i="24"/>
  <c r="Q34" i="24"/>
  <c r="R34" i="24"/>
  <c r="G35" i="24"/>
  <c r="K35" i="24"/>
  <c r="O35" i="24"/>
  <c r="Q35" i="24"/>
  <c r="R35" i="24"/>
  <c r="B36" i="24"/>
  <c r="D36" i="24"/>
  <c r="E36" i="24"/>
  <c r="F36" i="24"/>
  <c r="H36" i="24"/>
  <c r="J36" i="24"/>
  <c r="M36" i="24"/>
  <c r="N36" i="24"/>
  <c r="N43" i="24" s="1"/>
  <c r="P36" i="24"/>
  <c r="G37" i="24"/>
  <c r="K37" i="24"/>
  <c r="S37" i="24" s="1"/>
  <c r="T37" i="24" s="1"/>
  <c r="O37" i="24"/>
  <c r="Q37" i="24"/>
  <c r="R37" i="24"/>
  <c r="G38" i="24"/>
  <c r="K38" i="24"/>
  <c r="O38" i="24"/>
  <c r="Q38" i="24"/>
  <c r="R38" i="24"/>
  <c r="G39" i="24"/>
  <c r="K39" i="24"/>
  <c r="O39" i="24"/>
  <c r="Q39" i="24"/>
  <c r="R39" i="24"/>
  <c r="G40" i="24"/>
  <c r="K40" i="24"/>
  <c r="O40" i="24"/>
  <c r="Q40" i="24"/>
  <c r="R40" i="24"/>
  <c r="G41" i="24"/>
  <c r="K41" i="24"/>
  <c r="S41" i="24" s="1"/>
  <c r="O41" i="24"/>
  <c r="Q41" i="24"/>
  <c r="R41" i="24"/>
  <c r="G42" i="24"/>
  <c r="K42" i="24"/>
  <c r="O42" i="24"/>
  <c r="Q42" i="24"/>
  <c r="R42" i="24"/>
  <c r="I43" i="24"/>
  <c r="J44" i="23" s="1"/>
  <c r="L43" i="24"/>
  <c r="G47" i="24"/>
  <c r="K47" i="24"/>
  <c r="O47" i="24"/>
  <c r="G48" i="24"/>
  <c r="K48" i="24"/>
  <c r="O48" i="24"/>
  <c r="H4" i="23"/>
  <c r="P4" i="23" s="1"/>
  <c r="V4" i="23" s="1"/>
  <c r="M4" i="23"/>
  <c r="S4" i="23" s="1"/>
  <c r="Q4" i="23"/>
  <c r="R4" i="23"/>
  <c r="T4" i="23" s="1"/>
  <c r="H5" i="23"/>
  <c r="M5" i="23"/>
  <c r="S5" i="23" s="1"/>
  <c r="Q5" i="23"/>
  <c r="R5" i="23"/>
  <c r="H6" i="23"/>
  <c r="M6" i="23"/>
  <c r="S6" i="23" s="1"/>
  <c r="Q6" i="23"/>
  <c r="R6" i="23"/>
  <c r="H7" i="23"/>
  <c r="M7" i="23"/>
  <c r="S7" i="23" s="1"/>
  <c r="Q7" i="23"/>
  <c r="R7" i="23"/>
  <c r="H8" i="23"/>
  <c r="M8" i="23"/>
  <c r="Q8" i="23"/>
  <c r="R8" i="23"/>
  <c r="T8" i="23" s="1"/>
  <c r="S8" i="23"/>
  <c r="H9" i="23"/>
  <c r="M9" i="23"/>
  <c r="S9" i="23" s="1"/>
  <c r="Q9" i="23"/>
  <c r="R9" i="23"/>
  <c r="H10" i="23"/>
  <c r="M10" i="23"/>
  <c r="S10" i="23"/>
  <c r="Q10" i="23"/>
  <c r="R10" i="23"/>
  <c r="H11" i="23"/>
  <c r="P11" i="23" s="1"/>
  <c r="M11" i="23"/>
  <c r="S11" i="23" s="1"/>
  <c r="Q11" i="23"/>
  <c r="R11" i="23"/>
  <c r="H12" i="23"/>
  <c r="P12" i="23" s="1"/>
  <c r="M12" i="23"/>
  <c r="S12" i="23" s="1"/>
  <c r="Q12" i="23"/>
  <c r="R12" i="23"/>
  <c r="H13" i="23"/>
  <c r="P13" i="23" s="1"/>
  <c r="M13" i="23"/>
  <c r="S13" i="23" s="1"/>
  <c r="Q13" i="23"/>
  <c r="R13" i="23"/>
  <c r="H14" i="23"/>
  <c r="M14" i="23"/>
  <c r="S14" i="23" s="1"/>
  <c r="Q14" i="23"/>
  <c r="R14" i="23"/>
  <c r="H15" i="23"/>
  <c r="P15" i="23" s="1"/>
  <c r="M15" i="23"/>
  <c r="S15" i="23" s="1"/>
  <c r="Q15" i="23"/>
  <c r="R15" i="23"/>
  <c r="H16" i="23"/>
  <c r="P16" i="23" s="1"/>
  <c r="M16" i="23"/>
  <c r="Q16" i="23"/>
  <c r="R16" i="23"/>
  <c r="S16" i="23"/>
  <c r="H17" i="23"/>
  <c r="M17" i="23"/>
  <c r="S17" i="23" s="1"/>
  <c r="Q17" i="23"/>
  <c r="R17" i="23"/>
  <c r="H18" i="23"/>
  <c r="M18" i="23"/>
  <c r="S18" i="23" s="1"/>
  <c r="Q18" i="23"/>
  <c r="R18" i="23"/>
  <c r="H19" i="23"/>
  <c r="M19" i="23"/>
  <c r="S19" i="23" s="1"/>
  <c r="T19" i="23" s="1"/>
  <c r="Q19" i="23"/>
  <c r="R19" i="23"/>
  <c r="H20" i="23"/>
  <c r="M20" i="23"/>
  <c r="S20" i="23" s="1"/>
  <c r="Q20" i="23"/>
  <c r="R20" i="23"/>
  <c r="H21" i="23"/>
  <c r="M21" i="23"/>
  <c r="S21" i="23" s="1"/>
  <c r="Q21" i="23"/>
  <c r="R21" i="23"/>
  <c r="H22" i="23"/>
  <c r="M22" i="23"/>
  <c r="S22" i="23" s="1"/>
  <c r="T22" i="23" s="1"/>
  <c r="Q22" i="23"/>
  <c r="R22" i="23"/>
  <c r="H23" i="23"/>
  <c r="M23" i="23"/>
  <c r="S23" i="23" s="1"/>
  <c r="Q23" i="23"/>
  <c r="R23" i="23"/>
  <c r="H24" i="23"/>
  <c r="P24" i="23" s="1"/>
  <c r="M24" i="23"/>
  <c r="S24" i="23" s="1"/>
  <c r="Q24" i="23"/>
  <c r="R24" i="23"/>
  <c r="T24" i="23" s="1"/>
  <c r="H25" i="23"/>
  <c r="M25" i="23"/>
  <c r="S25" i="23" s="1"/>
  <c r="Q25" i="23"/>
  <c r="R25" i="23"/>
  <c r="H26" i="23"/>
  <c r="M26" i="23"/>
  <c r="S26" i="23"/>
  <c r="Q26" i="23"/>
  <c r="R26" i="23"/>
  <c r="H27" i="23"/>
  <c r="M27" i="23"/>
  <c r="S27" i="23" s="1"/>
  <c r="Q27" i="23"/>
  <c r="R27" i="23"/>
  <c r="H28" i="23"/>
  <c r="M28" i="23"/>
  <c r="S28" i="23" s="1"/>
  <c r="Q28" i="23"/>
  <c r="R28" i="23"/>
  <c r="B29" i="23"/>
  <c r="C29" i="23"/>
  <c r="D29" i="23"/>
  <c r="E29" i="23"/>
  <c r="F29" i="23"/>
  <c r="I29" i="23"/>
  <c r="M29" i="23"/>
  <c r="S29" i="23" s="1"/>
  <c r="H30" i="23"/>
  <c r="M30" i="23"/>
  <c r="S30" i="23" s="1"/>
  <c r="Q30" i="23"/>
  <c r="R30" i="23"/>
  <c r="H31" i="23"/>
  <c r="M31" i="23"/>
  <c r="S31" i="23"/>
  <c r="Q31" i="23"/>
  <c r="R31" i="23"/>
  <c r="H32" i="23"/>
  <c r="M32" i="23"/>
  <c r="P32" i="23" s="1"/>
  <c r="Q32" i="23"/>
  <c r="R32" i="23"/>
  <c r="H33" i="23"/>
  <c r="M33" i="23"/>
  <c r="Q33" i="23"/>
  <c r="R33" i="23"/>
  <c r="S33" i="23"/>
  <c r="H34" i="23"/>
  <c r="M34" i="23"/>
  <c r="S34" i="23" s="1"/>
  <c r="Q34" i="23"/>
  <c r="R34" i="23"/>
  <c r="H35" i="23"/>
  <c r="M35" i="23"/>
  <c r="S35" i="23" s="1"/>
  <c r="Q35" i="23"/>
  <c r="T35" i="23" s="1"/>
  <c r="R35" i="23"/>
  <c r="B36" i="23"/>
  <c r="D36" i="23"/>
  <c r="Q36" i="23" s="1"/>
  <c r="E36" i="23"/>
  <c r="F36" i="23"/>
  <c r="I36" i="23"/>
  <c r="K36" i="23"/>
  <c r="L36" i="23"/>
  <c r="L43" i="23" s="1"/>
  <c r="L44" i="22" s="1"/>
  <c r="H37" i="23"/>
  <c r="M37" i="23"/>
  <c r="S37" i="23" s="1"/>
  <c r="Q37" i="23"/>
  <c r="R37" i="23"/>
  <c r="H38" i="23"/>
  <c r="M38" i="23"/>
  <c r="Q38" i="23"/>
  <c r="R38" i="23"/>
  <c r="S38" i="23"/>
  <c r="H39" i="23"/>
  <c r="P39" i="23" s="1"/>
  <c r="M39" i="23"/>
  <c r="S39" i="23" s="1"/>
  <c r="Q39" i="23"/>
  <c r="R39" i="23"/>
  <c r="H40" i="23"/>
  <c r="M40" i="23"/>
  <c r="Q40" i="23"/>
  <c r="R40" i="23"/>
  <c r="H41" i="23"/>
  <c r="M41" i="23"/>
  <c r="S41" i="23" s="1"/>
  <c r="Q41" i="23"/>
  <c r="R41" i="23"/>
  <c r="H42" i="23"/>
  <c r="M42" i="23"/>
  <c r="S42" i="23" s="1"/>
  <c r="Q42" i="23"/>
  <c r="R42" i="23"/>
  <c r="G43" i="23"/>
  <c r="G44" i="22" s="1"/>
  <c r="J43" i="23"/>
  <c r="N43" i="23"/>
  <c r="N44" i="22" s="1"/>
  <c r="O43" i="23"/>
  <c r="O44" i="22"/>
  <c r="H48" i="23"/>
  <c r="P48" i="23" s="1"/>
  <c r="H49" i="23"/>
  <c r="P49" i="23" s="1"/>
  <c r="H4" i="22"/>
  <c r="M4" i="22"/>
  <c r="S4" i="22" s="1"/>
  <c r="Q4" i="22"/>
  <c r="R4" i="22"/>
  <c r="H5" i="22"/>
  <c r="M5" i="22"/>
  <c r="S5" i="22" s="1"/>
  <c r="Q5" i="22"/>
  <c r="R5" i="22"/>
  <c r="H6" i="22"/>
  <c r="M6" i="22"/>
  <c r="S6" i="22" s="1"/>
  <c r="Q6" i="22"/>
  <c r="R6" i="22"/>
  <c r="H7" i="22"/>
  <c r="M7" i="22"/>
  <c r="P7" i="22" s="1"/>
  <c r="Q7" i="22"/>
  <c r="R7" i="22"/>
  <c r="H8" i="22"/>
  <c r="M8" i="22"/>
  <c r="S8" i="22" s="1"/>
  <c r="Q8" i="22"/>
  <c r="R8" i="22"/>
  <c r="H9" i="22"/>
  <c r="M9" i="22"/>
  <c r="S9" i="22" s="1"/>
  <c r="Q9" i="22"/>
  <c r="R9" i="22"/>
  <c r="H10" i="22"/>
  <c r="P10" i="22" s="1"/>
  <c r="M10" i="22"/>
  <c r="S10" i="22" s="1"/>
  <c r="Q10" i="22"/>
  <c r="R10" i="22"/>
  <c r="T10" i="22" s="1"/>
  <c r="H11" i="22"/>
  <c r="M11" i="22"/>
  <c r="Q11" i="22"/>
  <c r="R11" i="22"/>
  <c r="S11" i="22"/>
  <c r="H12" i="22"/>
  <c r="M12" i="22"/>
  <c r="S12" i="22" s="1"/>
  <c r="Q12" i="22"/>
  <c r="R12" i="22"/>
  <c r="H13" i="22"/>
  <c r="M13" i="22"/>
  <c r="Q13" i="22"/>
  <c r="R13" i="22"/>
  <c r="H14" i="22"/>
  <c r="M14" i="22"/>
  <c r="S14" i="22" s="1"/>
  <c r="Q14" i="22"/>
  <c r="R14" i="22"/>
  <c r="H15" i="22"/>
  <c r="M15" i="22"/>
  <c r="Q15" i="22"/>
  <c r="R15" i="22"/>
  <c r="H16" i="22"/>
  <c r="M16" i="22"/>
  <c r="S16" i="22" s="1"/>
  <c r="Q16" i="22"/>
  <c r="R16" i="22"/>
  <c r="H17" i="22"/>
  <c r="M17" i="22"/>
  <c r="Q17" i="22"/>
  <c r="R17" i="22"/>
  <c r="S17" i="22"/>
  <c r="T17" i="22" s="1"/>
  <c r="H18" i="22"/>
  <c r="P18" i="22" s="1"/>
  <c r="M18" i="22"/>
  <c r="S18" i="22" s="1"/>
  <c r="Q18" i="22"/>
  <c r="R18" i="22"/>
  <c r="T18" i="22" s="1"/>
  <c r="H19" i="22"/>
  <c r="M19" i="22"/>
  <c r="S19" i="22" s="1"/>
  <c r="Q19" i="22"/>
  <c r="R19" i="22"/>
  <c r="H20" i="22"/>
  <c r="M20" i="22"/>
  <c r="Q20" i="22"/>
  <c r="R20" i="22"/>
  <c r="T20" i="22" s="1"/>
  <c r="S20" i="22"/>
  <c r="H21" i="22"/>
  <c r="M21" i="22"/>
  <c r="Q21" i="22"/>
  <c r="V21" i="22" s="1"/>
  <c r="R21" i="22"/>
  <c r="S21" i="22"/>
  <c r="H22" i="22"/>
  <c r="M22" i="22"/>
  <c r="Q22" i="22"/>
  <c r="R22" i="22"/>
  <c r="H23" i="22"/>
  <c r="M23" i="22"/>
  <c r="S23" i="22" s="1"/>
  <c r="Q23" i="22"/>
  <c r="R23" i="22"/>
  <c r="H24" i="22"/>
  <c r="M24" i="22"/>
  <c r="Q24" i="22"/>
  <c r="R24" i="22"/>
  <c r="S24" i="22"/>
  <c r="H25" i="22"/>
  <c r="M25" i="22"/>
  <c r="S25" i="22" s="1"/>
  <c r="Q25" i="22"/>
  <c r="R25" i="22"/>
  <c r="H26" i="22"/>
  <c r="M26" i="22"/>
  <c r="Q26" i="22"/>
  <c r="R26" i="22"/>
  <c r="H27" i="22"/>
  <c r="M27" i="22"/>
  <c r="Q27" i="22"/>
  <c r="R27" i="22"/>
  <c r="S27" i="22"/>
  <c r="H28" i="22"/>
  <c r="P28" i="22" s="1"/>
  <c r="M28" i="22"/>
  <c r="Q28" i="22"/>
  <c r="R28" i="22"/>
  <c r="H29" i="22"/>
  <c r="P29" i="22" s="1"/>
  <c r="M29" i="22"/>
  <c r="Q29" i="22"/>
  <c r="R29" i="22"/>
  <c r="S29" i="22"/>
  <c r="H30" i="22"/>
  <c r="M30" i="22"/>
  <c r="S30" i="22" s="1"/>
  <c r="Q30" i="22"/>
  <c r="R30" i="22"/>
  <c r="H31" i="22"/>
  <c r="M31" i="22"/>
  <c r="S31" i="22" s="1"/>
  <c r="Q31" i="22"/>
  <c r="R31" i="22"/>
  <c r="H32" i="22"/>
  <c r="M32" i="22"/>
  <c r="P32" i="22" s="1"/>
  <c r="Q32" i="22"/>
  <c r="R32" i="22"/>
  <c r="H33" i="22"/>
  <c r="M33" i="22"/>
  <c r="Q33" i="22"/>
  <c r="R33" i="22"/>
  <c r="S33" i="22"/>
  <c r="H34" i="22"/>
  <c r="M34" i="22"/>
  <c r="S34" i="22" s="1"/>
  <c r="Q34" i="22"/>
  <c r="R34" i="22"/>
  <c r="H35" i="22"/>
  <c r="M35" i="22"/>
  <c r="S35" i="22" s="1"/>
  <c r="Q35" i="22"/>
  <c r="R35" i="22"/>
  <c r="B36" i="22"/>
  <c r="B43" i="22" s="1"/>
  <c r="D36" i="22"/>
  <c r="D43" i="22" s="1"/>
  <c r="E36" i="22"/>
  <c r="F36" i="22"/>
  <c r="F43" i="22" s="1"/>
  <c r="F44" i="14" s="1"/>
  <c r="I36" i="22"/>
  <c r="K36" i="22"/>
  <c r="K43" i="22" s="1"/>
  <c r="H37" i="22"/>
  <c r="M37" i="22"/>
  <c r="Q37" i="22"/>
  <c r="R37" i="22"/>
  <c r="H38" i="22"/>
  <c r="M38" i="22"/>
  <c r="S38" i="22" s="1"/>
  <c r="Q38" i="22"/>
  <c r="R38" i="22"/>
  <c r="H39" i="22"/>
  <c r="M39" i="22"/>
  <c r="P39" i="22" s="1"/>
  <c r="Q39" i="22"/>
  <c r="R39" i="22"/>
  <c r="H40" i="22"/>
  <c r="M40" i="22"/>
  <c r="P40" i="22" s="1"/>
  <c r="Q40" i="22"/>
  <c r="R40" i="22"/>
  <c r="H41" i="22"/>
  <c r="M41" i="22"/>
  <c r="S41" i="22" s="1"/>
  <c r="Q41" i="22"/>
  <c r="R41" i="22"/>
  <c r="H42" i="22"/>
  <c r="M42" i="22"/>
  <c r="Q42" i="22"/>
  <c r="R42" i="22"/>
  <c r="C43" i="22"/>
  <c r="C44" i="14" s="1"/>
  <c r="G43" i="22"/>
  <c r="G44" i="14"/>
  <c r="J43" i="22"/>
  <c r="J44" i="14" s="1"/>
  <c r="L43" i="22"/>
  <c r="L44" i="14" s="1"/>
  <c r="N43" i="22"/>
  <c r="O43" i="22"/>
  <c r="O45" i="22" s="1"/>
  <c r="P4" i="14"/>
  <c r="Q4" i="14"/>
  <c r="V4" i="14" s="1"/>
  <c r="W4" i="14" s="1"/>
  <c r="R4" i="14"/>
  <c r="S4" i="14"/>
  <c r="P5" i="14"/>
  <c r="Q5" i="14"/>
  <c r="R5" i="14"/>
  <c r="S5" i="14"/>
  <c r="P6" i="14"/>
  <c r="Q6" i="14"/>
  <c r="R6" i="14"/>
  <c r="S6" i="14"/>
  <c r="P7" i="14"/>
  <c r="Q7" i="14"/>
  <c r="T7" i="14" s="1"/>
  <c r="R7" i="14"/>
  <c r="S7" i="14"/>
  <c r="P8" i="14"/>
  <c r="Q8" i="14"/>
  <c r="R8" i="14"/>
  <c r="S8" i="14"/>
  <c r="P9" i="14"/>
  <c r="Q9" i="14"/>
  <c r="R9" i="14"/>
  <c r="S9" i="14"/>
  <c r="P10" i="14"/>
  <c r="Q10" i="14"/>
  <c r="T10" i="14" s="1"/>
  <c r="R10" i="14"/>
  <c r="S10" i="14"/>
  <c r="P11" i="14"/>
  <c r="Q11" i="14"/>
  <c r="R11" i="14"/>
  <c r="S11" i="14"/>
  <c r="P12" i="14"/>
  <c r="Q12" i="14"/>
  <c r="R12" i="14"/>
  <c r="S12" i="14"/>
  <c r="P13" i="14"/>
  <c r="Q13" i="14"/>
  <c r="R13" i="14"/>
  <c r="S13" i="14"/>
  <c r="P14" i="14"/>
  <c r="Q14" i="14"/>
  <c r="T14" i="14" s="1"/>
  <c r="R14" i="14"/>
  <c r="S14" i="14"/>
  <c r="P15" i="14"/>
  <c r="Q15" i="14"/>
  <c r="T15" i="14" s="1"/>
  <c r="R15" i="14"/>
  <c r="S15" i="14"/>
  <c r="P16" i="14"/>
  <c r="Q16" i="14"/>
  <c r="R16" i="14"/>
  <c r="S16" i="14"/>
  <c r="P17" i="14"/>
  <c r="Q17" i="14"/>
  <c r="R17" i="14"/>
  <c r="S17" i="14"/>
  <c r="P18" i="14"/>
  <c r="Q18" i="14"/>
  <c r="R18" i="14"/>
  <c r="S18" i="14"/>
  <c r="T18" i="14"/>
  <c r="P19" i="14"/>
  <c r="Q19" i="14"/>
  <c r="R19" i="14"/>
  <c r="S19" i="14"/>
  <c r="P20" i="14"/>
  <c r="Q20" i="14"/>
  <c r="R20" i="14"/>
  <c r="S20" i="14"/>
  <c r="P21" i="14"/>
  <c r="Q21" i="14"/>
  <c r="R21" i="14"/>
  <c r="S21" i="14"/>
  <c r="P22" i="14"/>
  <c r="Q22" i="14"/>
  <c r="R22" i="14"/>
  <c r="S22" i="14"/>
  <c r="P23" i="14"/>
  <c r="Q23" i="14"/>
  <c r="R23" i="14"/>
  <c r="S23" i="14"/>
  <c r="P24" i="14"/>
  <c r="Q24" i="14"/>
  <c r="R24" i="14"/>
  <c r="S24" i="14"/>
  <c r="P25" i="14"/>
  <c r="Q25" i="14"/>
  <c r="R25" i="14"/>
  <c r="S25" i="14"/>
  <c r="P26" i="14"/>
  <c r="Q26" i="14"/>
  <c r="R26" i="14"/>
  <c r="S26" i="14"/>
  <c r="P27" i="14"/>
  <c r="Q27" i="14"/>
  <c r="T27" i="14" s="1"/>
  <c r="R27" i="14"/>
  <c r="S27" i="14"/>
  <c r="P28" i="14"/>
  <c r="Q28" i="14"/>
  <c r="R28" i="14"/>
  <c r="S28" i="14"/>
  <c r="P29" i="14"/>
  <c r="Q29" i="14"/>
  <c r="R29" i="14"/>
  <c r="S29" i="14"/>
  <c r="P30" i="14"/>
  <c r="Q30" i="14"/>
  <c r="R30" i="14"/>
  <c r="S30" i="14"/>
  <c r="P31" i="14"/>
  <c r="Q31" i="14"/>
  <c r="R31" i="14"/>
  <c r="T31" i="14" s="1"/>
  <c r="S31" i="14"/>
  <c r="P32" i="14"/>
  <c r="Q32" i="14"/>
  <c r="R32" i="14"/>
  <c r="S32" i="14"/>
  <c r="P33" i="14"/>
  <c r="Q33" i="14"/>
  <c r="R33" i="14"/>
  <c r="S33" i="14"/>
  <c r="P34" i="14"/>
  <c r="Q34" i="14"/>
  <c r="R34" i="14"/>
  <c r="V34" i="14" s="1"/>
  <c r="W34" i="14" s="1"/>
  <c r="S34" i="14"/>
  <c r="P35" i="14"/>
  <c r="Q35" i="14"/>
  <c r="R35" i="14"/>
  <c r="S35" i="14"/>
  <c r="P36" i="14"/>
  <c r="Q36" i="14"/>
  <c r="R36" i="14"/>
  <c r="S36" i="14"/>
  <c r="P37" i="14"/>
  <c r="Q37" i="14"/>
  <c r="R37" i="14"/>
  <c r="S37" i="14"/>
  <c r="P38" i="14"/>
  <c r="Q38" i="14"/>
  <c r="R38" i="14"/>
  <c r="S38" i="14"/>
  <c r="P39" i="14"/>
  <c r="Q39" i="14"/>
  <c r="R39" i="14"/>
  <c r="S39" i="14"/>
  <c r="P40" i="14"/>
  <c r="Q40" i="14"/>
  <c r="R40" i="14"/>
  <c r="S40" i="14"/>
  <c r="P41" i="14"/>
  <c r="Q41" i="14"/>
  <c r="R41" i="14"/>
  <c r="S41" i="14"/>
  <c r="P42" i="14"/>
  <c r="Q42" i="14"/>
  <c r="R42" i="14"/>
  <c r="S42" i="14"/>
  <c r="B43" i="14"/>
  <c r="B45" i="13" s="1"/>
  <c r="C43" i="14"/>
  <c r="D43" i="14"/>
  <c r="D45" i="13" s="1"/>
  <c r="E43" i="14"/>
  <c r="F43" i="14"/>
  <c r="F45" i="13" s="1"/>
  <c r="G43" i="14"/>
  <c r="H43" i="14"/>
  <c r="I43" i="14"/>
  <c r="J43" i="14"/>
  <c r="K43" i="14"/>
  <c r="L43" i="14"/>
  <c r="M43" i="14"/>
  <c r="N43" i="14"/>
  <c r="O43" i="14"/>
  <c r="O44" i="14"/>
  <c r="A49" i="14"/>
  <c r="Q49" i="14"/>
  <c r="R49" i="14"/>
  <c r="S49" i="14"/>
  <c r="A50" i="14"/>
  <c r="Q50" i="14"/>
  <c r="R50" i="14"/>
  <c r="S50" i="14"/>
  <c r="A51" i="14"/>
  <c r="Q51" i="14"/>
  <c r="R51" i="14"/>
  <c r="S51" i="14"/>
  <c r="A52" i="14"/>
  <c r="Q52" i="14"/>
  <c r="R52" i="14"/>
  <c r="S52" i="14"/>
  <c r="A53" i="14"/>
  <c r="Q53" i="14"/>
  <c r="R53" i="14"/>
  <c r="S53" i="14"/>
  <c r="A54" i="14"/>
  <c r="Q54" i="14"/>
  <c r="R54" i="14"/>
  <c r="S54" i="14"/>
  <c r="A55" i="14"/>
  <c r="Q55" i="14"/>
  <c r="R55" i="14"/>
  <c r="S55" i="14"/>
  <c r="A56" i="14"/>
  <c r="Q56" i="14"/>
  <c r="R56" i="14"/>
  <c r="S56" i="14"/>
  <c r="P5" i="13"/>
  <c r="Q5" i="13"/>
  <c r="R5" i="13"/>
  <c r="S5" i="13"/>
  <c r="P6" i="13"/>
  <c r="Q6" i="13"/>
  <c r="R6" i="13"/>
  <c r="S6" i="13"/>
  <c r="P7" i="13"/>
  <c r="Q7" i="13"/>
  <c r="R7" i="13"/>
  <c r="T7" i="13" s="1"/>
  <c r="S7" i="13"/>
  <c r="P8" i="13"/>
  <c r="Q8" i="13"/>
  <c r="R8" i="13"/>
  <c r="S8" i="13"/>
  <c r="P9" i="13"/>
  <c r="Q9" i="13"/>
  <c r="R9" i="13"/>
  <c r="S9" i="13"/>
  <c r="P10" i="13"/>
  <c r="Q10" i="13"/>
  <c r="R10" i="13"/>
  <c r="S10" i="13"/>
  <c r="P11" i="13"/>
  <c r="Q11" i="13"/>
  <c r="T11" i="13" s="1"/>
  <c r="R11" i="13"/>
  <c r="S11" i="13"/>
  <c r="P12" i="13"/>
  <c r="Q12" i="13"/>
  <c r="V12" i="13" s="1"/>
  <c r="W12" i="13" s="1"/>
  <c r="R12" i="13"/>
  <c r="S12" i="13"/>
  <c r="P13" i="13"/>
  <c r="Q13" i="13"/>
  <c r="T13" i="13" s="1"/>
  <c r="R13" i="13"/>
  <c r="S13" i="13"/>
  <c r="P14" i="13"/>
  <c r="Q14" i="13"/>
  <c r="R14" i="13"/>
  <c r="S14" i="13"/>
  <c r="P15" i="13"/>
  <c r="Q15" i="13"/>
  <c r="R15" i="13"/>
  <c r="S15" i="13"/>
  <c r="P16" i="13"/>
  <c r="Q16" i="13"/>
  <c r="R16" i="13"/>
  <c r="S16" i="13"/>
  <c r="P17" i="13"/>
  <c r="Q17" i="13"/>
  <c r="R17" i="13"/>
  <c r="S17" i="13"/>
  <c r="P18" i="13"/>
  <c r="Q18" i="13"/>
  <c r="V18" i="13" s="1"/>
  <c r="R18" i="13"/>
  <c r="S18" i="13"/>
  <c r="P19" i="13"/>
  <c r="Q19" i="13"/>
  <c r="R19" i="13"/>
  <c r="S19" i="13"/>
  <c r="P20" i="13"/>
  <c r="Q20" i="13"/>
  <c r="R20" i="13"/>
  <c r="S20" i="13"/>
  <c r="P21" i="13"/>
  <c r="Q21" i="13"/>
  <c r="R21" i="13"/>
  <c r="S21" i="13"/>
  <c r="P22" i="13"/>
  <c r="Q22" i="13"/>
  <c r="R22" i="13"/>
  <c r="S22" i="13"/>
  <c r="P23" i="13"/>
  <c r="Q23" i="13"/>
  <c r="R23" i="13"/>
  <c r="S23" i="13"/>
  <c r="P24" i="13"/>
  <c r="Q24" i="13"/>
  <c r="R24" i="13"/>
  <c r="S24" i="13"/>
  <c r="P25" i="13"/>
  <c r="Q25" i="13"/>
  <c r="R25" i="13"/>
  <c r="S25" i="13"/>
  <c r="P26" i="13"/>
  <c r="Q26" i="13"/>
  <c r="R26" i="13"/>
  <c r="S26" i="13"/>
  <c r="P27" i="13"/>
  <c r="Q27" i="13"/>
  <c r="R27" i="13"/>
  <c r="S27" i="13"/>
  <c r="P28" i="13"/>
  <c r="Q28" i="13"/>
  <c r="R28" i="13"/>
  <c r="S28" i="13"/>
  <c r="P29" i="13"/>
  <c r="Q29" i="13"/>
  <c r="R29" i="13"/>
  <c r="S29" i="13"/>
  <c r="P30" i="13"/>
  <c r="Q30" i="13"/>
  <c r="R30" i="13"/>
  <c r="S30" i="13"/>
  <c r="P31" i="13"/>
  <c r="Q31" i="13"/>
  <c r="R31" i="13"/>
  <c r="S31" i="13"/>
  <c r="P32" i="13"/>
  <c r="Q32" i="13"/>
  <c r="R32" i="13"/>
  <c r="S32" i="13"/>
  <c r="P33" i="13"/>
  <c r="Q33" i="13"/>
  <c r="V33" i="13" s="1"/>
  <c r="R33" i="13"/>
  <c r="S33" i="13"/>
  <c r="P34" i="13"/>
  <c r="Q34" i="13"/>
  <c r="R34" i="13"/>
  <c r="S34" i="13"/>
  <c r="P35" i="13"/>
  <c r="Q35" i="13"/>
  <c r="T35" i="13" s="1"/>
  <c r="R35" i="13"/>
  <c r="S35" i="13"/>
  <c r="P36" i="13"/>
  <c r="Q36" i="13"/>
  <c r="R36" i="13"/>
  <c r="S36" i="13"/>
  <c r="P37" i="13"/>
  <c r="Q37" i="13"/>
  <c r="V37" i="13" s="1"/>
  <c r="R37" i="13"/>
  <c r="S37" i="13"/>
  <c r="P38" i="13"/>
  <c r="Q38" i="13"/>
  <c r="R38" i="13"/>
  <c r="S38" i="13"/>
  <c r="P39" i="13"/>
  <c r="Q39" i="13"/>
  <c r="R39" i="13"/>
  <c r="S39" i="13"/>
  <c r="P40" i="13"/>
  <c r="Q40" i="13"/>
  <c r="R40" i="13"/>
  <c r="S40" i="13"/>
  <c r="P41" i="13"/>
  <c r="Q41" i="13"/>
  <c r="R41" i="13"/>
  <c r="S41" i="13"/>
  <c r="P42" i="13"/>
  <c r="Q42" i="13"/>
  <c r="R42" i="13"/>
  <c r="S42" i="13"/>
  <c r="P43" i="13"/>
  <c r="Q43" i="13"/>
  <c r="R43" i="13"/>
  <c r="S43" i="13"/>
  <c r="B44" i="13"/>
  <c r="C44" i="13"/>
  <c r="D44" i="13"/>
  <c r="D45" i="11" s="1"/>
  <c r="E44" i="13"/>
  <c r="F44" i="13"/>
  <c r="G44" i="13"/>
  <c r="H44" i="13"/>
  <c r="I44" i="13"/>
  <c r="H45" i="11" s="1"/>
  <c r="J44" i="13"/>
  <c r="K44" i="13"/>
  <c r="L44" i="13"/>
  <c r="M44" i="13"/>
  <c r="N44" i="13"/>
  <c r="O44" i="13"/>
  <c r="M45" i="11" s="1"/>
  <c r="C45" i="13"/>
  <c r="E45" i="13"/>
  <c r="H45" i="13"/>
  <c r="I45" i="13"/>
  <c r="K45" i="13"/>
  <c r="L45" i="13"/>
  <c r="L46" i="13" s="1"/>
  <c r="O45" i="13"/>
  <c r="A48" i="13"/>
  <c r="Q48" i="13"/>
  <c r="R48" i="13"/>
  <c r="S48" i="13"/>
  <c r="A49" i="13"/>
  <c r="Q49" i="13"/>
  <c r="R49" i="13"/>
  <c r="S49" i="13"/>
  <c r="A50" i="13"/>
  <c r="Q50" i="13"/>
  <c r="R50" i="13"/>
  <c r="S50" i="13"/>
  <c r="A51" i="13"/>
  <c r="Q51" i="13"/>
  <c r="R51" i="13"/>
  <c r="S51" i="13"/>
  <c r="A52" i="13"/>
  <c r="Q52" i="13"/>
  <c r="R52" i="13"/>
  <c r="S52" i="13"/>
  <c r="A53" i="13"/>
  <c r="Q53" i="13"/>
  <c r="R53" i="13"/>
  <c r="S53" i="13"/>
  <c r="A54" i="13"/>
  <c r="Q54" i="13"/>
  <c r="R54" i="13"/>
  <c r="S54" i="13"/>
  <c r="A55" i="13"/>
  <c r="Q55" i="13"/>
  <c r="R55" i="13"/>
  <c r="S55" i="13"/>
  <c r="D5" i="11"/>
  <c r="Q5" i="11"/>
  <c r="R5" i="11"/>
  <c r="F6" i="11"/>
  <c r="P6" i="11"/>
  <c r="R6" i="11"/>
  <c r="C7" i="11"/>
  <c r="J7" i="11"/>
  <c r="R7" i="11"/>
  <c r="D8" i="11"/>
  <c r="P8" i="11" s="1"/>
  <c r="Q8" i="11"/>
  <c r="R8" i="11"/>
  <c r="B9" i="11"/>
  <c r="I9" i="11"/>
  <c r="J9" i="11"/>
  <c r="N9" i="11"/>
  <c r="Q9" i="11"/>
  <c r="R9" i="11"/>
  <c r="P10" i="11"/>
  <c r="Q10" i="11"/>
  <c r="U10" i="11" s="1"/>
  <c r="V10" i="11" s="1"/>
  <c r="R10" i="11"/>
  <c r="P11" i="11"/>
  <c r="Q11" i="11"/>
  <c r="R11" i="11"/>
  <c r="B12" i="11"/>
  <c r="Q12" i="11"/>
  <c r="R12" i="11"/>
  <c r="P13" i="11"/>
  <c r="S13" i="11" s="1"/>
  <c r="Q13" i="11"/>
  <c r="R13" i="11"/>
  <c r="B14" i="11"/>
  <c r="P14" i="11" s="1"/>
  <c r="Q14" i="11"/>
  <c r="R14" i="11"/>
  <c r="L15" i="11"/>
  <c r="R15" i="11" s="1"/>
  <c r="P15" i="11"/>
  <c r="Q15" i="11"/>
  <c r="L16" i="11"/>
  <c r="R16" i="11" s="1"/>
  <c r="P16" i="11"/>
  <c r="Q16" i="11"/>
  <c r="P17" i="11"/>
  <c r="S17" i="11" s="1"/>
  <c r="Q17" i="11"/>
  <c r="R17" i="11"/>
  <c r="P18" i="11"/>
  <c r="Q18" i="11"/>
  <c r="R18" i="11"/>
  <c r="P19" i="11"/>
  <c r="Q19" i="11"/>
  <c r="R19" i="11"/>
  <c r="P20" i="11"/>
  <c r="Q20" i="11"/>
  <c r="R20" i="11"/>
  <c r="P21" i="11"/>
  <c r="Q21" i="11"/>
  <c r="R21" i="11"/>
  <c r="D22" i="11"/>
  <c r="P22" i="11" s="1"/>
  <c r="Q22" i="11"/>
  <c r="R22" i="11"/>
  <c r="P23" i="11"/>
  <c r="Q23" i="11"/>
  <c r="R23" i="11"/>
  <c r="U23" i="11" s="1"/>
  <c r="V23" i="11" s="1"/>
  <c r="I24" i="11"/>
  <c r="P24" i="11"/>
  <c r="Q24" i="11"/>
  <c r="R24" i="11"/>
  <c r="P25" i="11"/>
  <c r="Q25" i="11"/>
  <c r="R25" i="11"/>
  <c r="I26" i="11"/>
  <c r="P26" i="11"/>
  <c r="Q26" i="11"/>
  <c r="R26" i="11"/>
  <c r="U26" i="11" s="1"/>
  <c r="V26" i="11" s="1"/>
  <c r="F27" i="11"/>
  <c r="Q27" i="11" s="1"/>
  <c r="K27" i="11"/>
  <c r="M27" i="11"/>
  <c r="P27" i="11"/>
  <c r="P28" i="11"/>
  <c r="Q28" i="11"/>
  <c r="R28" i="11"/>
  <c r="D29" i="11"/>
  <c r="P29" i="11" s="1"/>
  <c r="L29" i="11"/>
  <c r="Q29" i="11"/>
  <c r="D30" i="11"/>
  <c r="P30" i="11" s="1"/>
  <c r="Q30" i="11"/>
  <c r="R30" i="11"/>
  <c r="P31" i="11"/>
  <c r="Q31" i="11"/>
  <c r="R31" i="11"/>
  <c r="K32" i="11"/>
  <c r="M32" i="11" s="1"/>
  <c r="R32" i="11" s="1"/>
  <c r="P32" i="11"/>
  <c r="Q32" i="11"/>
  <c r="P33" i="11"/>
  <c r="Q33" i="11"/>
  <c r="R33" i="11"/>
  <c r="M34" i="11"/>
  <c r="R34" i="11" s="1"/>
  <c r="P34" i="11"/>
  <c r="Q34" i="11"/>
  <c r="P35" i="11"/>
  <c r="Q35" i="11"/>
  <c r="R35" i="11"/>
  <c r="M36" i="11"/>
  <c r="R36" i="11" s="1"/>
  <c r="P36" i="11"/>
  <c r="Q36" i="11"/>
  <c r="G37" i="11"/>
  <c r="I37" i="11" s="1"/>
  <c r="K37" i="11" s="1"/>
  <c r="R37" i="11" s="1"/>
  <c r="P37" i="11"/>
  <c r="Q37" i="11"/>
  <c r="P38" i="11"/>
  <c r="Q38" i="11"/>
  <c r="R38" i="11"/>
  <c r="I39" i="11"/>
  <c r="P39" i="11"/>
  <c r="Q39" i="11"/>
  <c r="R39" i="11"/>
  <c r="K40" i="11"/>
  <c r="P40" i="11"/>
  <c r="Q40" i="11"/>
  <c r="P41" i="11"/>
  <c r="Q41" i="11"/>
  <c r="R41" i="11"/>
  <c r="D42" i="11"/>
  <c r="P42" i="11" s="1"/>
  <c r="Q42" i="11"/>
  <c r="R42" i="11"/>
  <c r="P43" i="11"/>
  <c r="Q43" i="11"/>
  <c r="R43" i="11"/>
  <c r="C44" i="11"/>
  <c r="E44" i="11"/>
  <c r="E45" i="18" s="1"/>
  <c r="E46" i="18" s="1"/>
  <c r="H44" i="11"/>
  <c r="C45" i="11"/>
  <c r="I45" i="11"/>
  <c r="K45" i="11"/>
  <c r="L45" i="11"/>
  <c r="A52" i="11"/>
  <c r="P52" i="11"/>
  <c r="Q52" i="11"/>
  <c r="R52" i="11"/>
  <c r="A53" i="11"/>
  <c r="P53" i="11"/>
  <c r="Q53" i="11"/>
  <c r="R53" i="11"/>
  <c r="A54" i="11"/>
  <c r="P54" i="11"/>
  <c r="Q54" i="11"/>
  <c r="R54" i="11"/>
  <c r="A55" i="11"/>
  <c r="P55" i="11"/>
  <c r="Q55" i="11"/>
  <c r="R55" i="11"/>
  <c r="A56" i="11"/>
  <c r="P56" i="11"/>
  <c r="Q56" i="11"/>
  <c r="R56" i="11"/>
  <c r="A57" i="11"/>
  <c r="P57" i="11"/>
  <c r="Q57" i="11"/>
  <c r="R57" i="11"/>
  <c r="A58" i="11"/>
  <c r="P58" i="11"/>
  <c r="Q58" i="11"/>
  <c r="R58" i="11"/>
  <c r="A59" i="11"/>
  <c r="P59" i="11"/>
  <c r="Q59" i="11"/>
  <c r="R59" i="11"/>
  <c r="S65" i="11"/>
  <c r="S66" i="11"/>
  <c r="S67" i="11"/>
  <c r="S68" i="11"/>
  <c r="S69" i="11"/>
  <c r="S70" i="11"/>
  <c r="S71" i="11"/>
  <c r="S72" i="11"/>
  <c r="S73" i="11"/>
  <c r="S74" i="11"/>
  <c r="S75" i="11"/>
  <c r="S76" i="11"/>
  <c r="S77" i="11"/>
  <c r="S78" i="11"/>
  <c r="S79" i="11"/>
  <c r="S80" i="11"/>
  <c r="S81" i="11"/>
  <c r="S82" i="11"/>
  <c r="S83" i="11"/>
  <c r="S84" i="11"/>
  <c r="S85" i="11"/>
  <c r="S86" i="11"/>
  <c r="M5" i="18"/>
  <c r="N5" i="18" s="1"/>
  <c r="O5" i="18"/>
  <c r="P5" i="18"/>
  <c r="Q5" i="18"/>
  <c r="M6" i="18"/>
  <c r="N6" i="18" s="1"/>
  <c r="O6" i="18"/>
  <c r="P6" i="18"/>
  <c r="Q6" i="18"/>
  <c r="M7" i="18"/>
  <c r="N7" i="18" s="1"/>
  <c r="O7" i="18"/>
  <c r="P7" i="18"/>
  <c r="Q7" i="18"/>
  <c r="M8" i="18"/>
  <c r="N8" i="18" s="1"/>
  <c r="O8" i="18"/>
  <c r="P8" i="18"/>
  <c r="Q8" i="18"/>
  <c r="R8" i="18" s="1"/>
  <c r="M9" i="18"/>
  <c r="N9" i="18" s="1"/>
  <c r="O9" i="18"/>
  <c r="P9" i="18"/>
  <c r="Q9" i="18"/>
  <c r="M10" i="18"/>
  <c r="N10" i="18" s="1"/>
  <c r="O10" i="18"/>
  <c r="P10" i="18"/>
  <c r="Q10" i="18"/>
  <c r="M11" i="18"/>
  <c r="N11" i="18" s="1"/>
  <c r="O11" i="18"/>
  <c r="P11" i="18"/>
  <c r="Q11" i="18"/>
  <c r="M12" i="18"/>
  <c r="N12" i="18" s="1"/>
  <c r="O12" i="18"/>
  <c r="P12" i="18"/>
  <c r="Q12" i="18"/>
  <c r="M13" i="18"/>
  <c r="N13" i="18" s="1"/>
  <c r="O13" i="18"/>
  <c r="P13" i="18"/>
  <c r="Q13" i="18"/>
  <c r="M14" i="18"/>
  <c r="N14" i="18" s="1"/>
  <c r="O14" i="18"/>
  <c r="P14" i="18"/>
  <c r="Q14" i="18"/>
  <c r="M15" i="18"/>
  <c r="N15" i="18" s="1"/>
  <c r="O15" i="18"/>
  <c r="P15" i="18"/>
  <c r="T15" i="18" s="1"/>
  <c r="Q15" i="18"/>
  <c r="M16" i="18"/>
  <c r="N16" i="18" s="1"/>
  <c r="O16" i="18"/>
  <c r="P16" i="18"/>
  <c r="Q16" i="18"/>
  <c r="M17" i="18"/>
  <c r="N17" i="18"/>
  <c r="O17" i="18"/>
  <c r="P17" i="18"/>
  <c r="Q17" i="18"/>
  <c r="M18" i="18"/>
  <c r="N18" i="18" s="1"/>
  <c r="O18" i="18"/>
  <c r="R18" i="18" s="1"/>
  <c r="P18" i="18"/>
  <c r="Q18" i="18"/>
  <c r="M19" i="18"/>
  <c r="N19" i="18" s="1"/>
  <c r="O19" i="18"/>
  <c r="P19" i="18"/>
  <c r="Q19" i="18"/>
  <c r="M20" i="18"/>
  <c r="N20" i="18"/>
  <c r="O20" i="18"/>
  <c r="P20" i="18"/>
  <c r="Q20" i="18"/>
  <c r="M21" i="18"/>
  <c r="N21" i="18" s="1"/>
  <c r="O21" i="18"/>
  <c r="P21" i="18"/>
  <c r="Q21" i="18"/>
  <c r="R21" i="18" s="1"/>
  <c r="M22" i="18"/>
  <c r="N22" i="18" s="1"/>
  <c r="O22" i="18"/>
  <c r="P22" i="18"/>
  <c r="Q22" i="18"/>
  <c r="M23" i="18"/>
  <c r="N23" i="18" s="1"/>
  <c r="O23" i="18"/>
  <c r="P23" i="18"/>
  <c r="Q23" i="18"/>
  <c r="M24" i="18"/>
  <c r="N24" i="18" s="1"/>
  <c r="O24" i="18"/>
  <c r="P24" i="18"/>
  <c r="Q24" i="18"/>
  <c r="M25" i="18"/>
  <c r="N25" i="18" s="1"/>
  <c r="O25" i="18"/>
  <c r="P25" i="18"/>
  <c r="Q25" i="18"/>
  <c r="M26" i="18"/>
  <c r="N26" i="18" s="1"/>
  <c r="O26" i="18"/>
  <c r="P26" i="18"/>
  <c r="Q26" i="18"/>
  <c r="M27" i="18"/>
  <c r="N27" i="18" s="1"/>
  <c r="O27" i="18"/>
  <c r="P27" i="18"/>
  <c r="T27" i="18" s="1"/>
  <c r="Q27" i="18"/>
  <c r="M28" i="18"/>
  <c r="N28" i="18" s="1"/>
  <c r="O28" i="18"/>
  <c r="P28" i="18"/>
  <c r="Q28" i="18"/>
  <c r="M29" i="18"/>
  <c r="N29" i="18" s="1"/>
  <c r="O29" i="18"/>
  <c r="P29" i="18"/>
  <c r="Q29" i="18"/>
  <c r="M30" i="18"/>
  <c r="N30" i="18"/>
  <c r="O30" i="18"/>
  <c r="P30" i="18"/>
  <c r="Q30" i="18"/>
  <c r="M31" i="18"/>
  <c r="N31" i="18" s="1"/>
  <c r="O31" i="18"/>
  <c r="T31" i="18" s="1"/>
  <c r="P31" i="18"/>
  <c r="Q31" i="18"/>
  <c r="M32" i="18"/>
  <c r="N32" i="18"/>
  <c r="O32" i="18"/>
  <c r="P32" i="18"/>
  <c r="Q32" i="18"/>
  <c r="M33" i="18"/>
  <c r="N33" i="18" s="1"/>
  <c r="O33" i="18"/>
  <c r="P33" i="18"/>
  <c r="Q33" i="18"/>
  <c r="M34" i="18"/>
  <c r="N34" i="18" s="1"/>
  <c r="O34" i="18"/>
  <c r="P34" i="18"/>
  <c r="Q34" i="18"/>
  <c r="T34" i="18" s="1"/>
  <c r="M35" i="18"/>
  <c r="N35" i="18" s="1"/>
  <c r="O35" i="18"/>
  <c r="R35" i="18" s="1"/>
  <c r="P35" i="18"/>
  <c r="Q35" i="18"/>
  <c r="M36" i="18"/>
  <c r="N36" i="18" s="1"/>
  <c r="O36" i="18"/>
  <c r="P36" i="18"/>
  <c r="Q36" i="18"/>
  <c r="M37" i="18"/>
  <c r="N37" i="18" s="1"/>
  <c r="O37" i="18"/>
  <c r="P37" i="18"/>
  <c r="Q37" i="18"/>
  <c r="M38" i="18"/>
  <c r="N38" i="18" s="1"/>
  <c r="O38" i="18"/>
  <c r="P38" i="18"/>
  <c r="Q38" i="18"/>
  <c r="M39" i="18"/>
  <c r="N39" i="18" s="1"/>
  <c r="O39" i="18"/>
  <c r="P39" i="18"/>
  <c r="Q39" i="18"/>
  <c r="M40" i="18"/>
  <c r="N40" i="18" s="1"/>
  <c r="O40" i="18"/>
  <c r="P40" i="18"/>
  <c r="Q40" i="18"/>
  <c r="M41" i="18"/>
  <c r="N41" i="18" s="1"/>
  <c r="O41" i="18"/>
  <c r="P41" i="18"/>
  <c r="Q41" i="18"/>
  <c r="M42" i="18"/>
  <c r="N42" i="18"/>
  <c r="O42" i="18"/>
  <c r="R42" i="18" s="1"/>
  <c r="P42" i="18"/>
  <c r="Q42" i="18"/>
  <c r="M43" i="18"/>
  <c r="N43" i="18" s="1"/>
  <c r="O43" i="18"/>
  <c r="P43" i="18"/>
  <c r="Q43" i="18"/>
  <c r="B44" i="18"/>
  <c r="B45" i="17" s="1"/>
  <c r="C44" i="18"/>
  <c r="C45" i="17" s="1"/>
  <c r="D44" i="18"/>
  <c r="E44" i="18"/>
  <c r="F44" i="18"/>
  <c r="F45" i="17" s="1"/>
  <c r="G44" i="18"/>
  <c r="G45" i="17" s="1"/>
  <c r="H44" i="18"/>
  <c r="I44" i="18"/>
  <c r="I45" i="17" s="1"/>
  <c r="J44" i="18"/>
  <c r="J45" i="17" s="1"/>
  <c r="K44" i="18"/>
  <c r="K45" i="17" s="1"/>
  <c r="L44" i="18"/>
  <c r="G45" i="18"/>
  <c r="A49" i="18"/>
  <c r="O49" i="18"/>
  <c r="P49" i="18"/>
  <c r="Q49" i="18"/>
  <c r="R49" i="18"/>
  <c r="A50" i="18"/>
  <c r="O50" i="18"/>
  <c r="P50" i="18"/>
  <c r="Q50" i="18"/>
  <c r="A51" i="18"/>
  <c r="O51" i="18"/>
  <c r="P51" i="18"/>
  <c r="Q51" i="18"/>
  <c r="A52" i="18"/>
  <c r="P52" i="18"/>
  <c r="Q52" i="18"/>
  <c r="A53" i="18"/>
  <c r="O53" i="18"/>
  <c r="P53" i="18"/>
  <c r="Q53" i="18"/>
  <c r="A54" i="18"/>
  <c r="O54" i="18"/>
  <c r="P54" i="18"/>
  <c r="Q54" i="18"/>
  <c r="A55" i="18"/>
  <c r="O55" i="18"/>
  <c r="P55" i="18"/>
  <c r="Q55" i="18"/>
  <c r="A56" i="18"/>
  <c r="O56" i="18"/>
  <c r="L56" i="18" s="1"/>
  <c r="P56" i="18"/>
  <c r="Q56" i="18"/>
  <c r="M5" i="17"/>
  <c r="N5" i="17" s="1"/>
  <c r="O5" i="17"/>
  <c r="P5" i="17"/>
  <c r="Q5" i="17"/>
  <c r="M6" i="17"/>
  <c r="N6" i="17" s="1"/>
  <c r="O6" i="17"/>
  <c r="P6" i="17"/>
  <c r="Q6" i="17"/>
  <c r="R6" i="17" s="1"/>
  <c r="M7" i="17"/>
  <c r="N7" i="17" s="1"/>
  <c r="O7" i="17"/>
  <c r="P7" i="17"/>
  <c r="Q7" i="17"/>
  <c r="M8" i="17"/>
  <c r="N8" i="17" s="1"/>
  <c r="O8" i="17"/>
  <c r="P8" i="17"/>
  <c r="Q8" i="17"/>
  <c r="T8" i="17" s="1"/>
  <c r="M9" i="17"/>
  <c r="N9" i="17" s="1"/>
  <c r="O9" i="17"/>
  <c r="P9" i="17"/>
  <c r="Q9" i="17"/>
  <c r="M10" i="17"/>
  <c r="N10" i="17" s="1"/>
  <c r="O10" i="17"/>
  <c r="P10" i="17"/>
  <c r="Q10" i="17"/>
  <c r="M11" i="17"/>
  <c r="N11" i="17"/>
  <c r="O11" i="17"/>
  <c r="P11" i="17"/>
  <c r="Q11" i="17"/>
  <c r="M12" i="17"/>
  <c r="N12" i="17" s="1"/>
  <c r="O12" i="17"/>
  <c r="P12" i="17"/>
  <c r="Q12" i="17"/>
  <c r="M13" i="17"/>
  <c r="N13" i="17" s="1"/>
  <c r="O13" i="17"/>
  <c r="P13" i="17"/>
  <c r="Q13" i="17"/>
  <c r="M14" i="17"/>
  <c r="N14" i="17"/>
  <c r="O14" i="17"/>
  <c r="P14" i="17"/>
  <c r="Q14" i="17"/>
  <c r="T14" i="17" s="1"/>
  <c r="M15" i="17"/>
  <c r="N15" i="17" s="1"/>
  <c r="O15" i="17"/>
  <c r="P15" i="17"/>
  <c r="Q15" i="17"/>
  <c r="M16" i="17"/>
  <c r="N16" i="17" s="1"/>
  <c r="O16" i="17"/>
  <c r="P16" i="17"/>
  <c r="R16" i="17" s="1"/>
  <c r="Q16" i="17"/>
  <c r="M17" i="17"/>
  <c r="N17" i="17" s="1"/>
  <c r="O17" i="17"/>
  <c r="P17" i="17"/>
  <c r="Q17" i="17"/>
  <c r="M18" i="17"/>
  <c r="N18" i="17" s="1"/>
  <c r="O18" i="17"/>
  <c r="P18" i="17"/>
  <c r="Q18" i="17"/>
  <c r="M19" i="17"/>
  <c r="N19" i="17" s="1"/>
  <c r="O19" i="17"/>
  <c r="P19" i="17"/>
  <c r="Q19" i="17"/>
  <c r="M20" i="17"/>
  <c r="N20" i="17" s="1"/>
  <c r="O20" i="17"/>
  <c r="P20" i="17"/>
  <c r="Q20" i="17"/>
  <c r="M21" i="17"/>
  <c r="N21" i="17" s="1"/>
  <c r="O21" i="17"/>
  <c r="P21" i="17"/>
  <c r="Q21" i="17"/>
  <c r="M22" i="17"/>
  <c r="N22" i="17" s="1"/>
  <c r="O22" i="17"/>
  <c r="P22" i="17"/>
  <c r="T22" i="17" s="1"/>
  <c r="Q22" i="17"/>
  <c r="M23" i="17"/>
  <c r="N23" i="17" s="1"/>
  <c r="O23" i="17"/>
  <c r="P23" i="17"/>
  <c r="Q23" i="17"/>
  <c r="M24" i="17"/>
  <c r="N24" i="17"/>
  <c r="O24" i="17"/>
  <c r="P24" i="17"/>
  <c r="Q24" i="17"/>
  <c r="M25" i="17"/>
  <c r="N25" i="17" s="1"/>
  <c r="O25" i="17"/>
  <c r="P25" i="17"/>
  <c r="Q25" i="17"/>
  <c r="M26" i="17"/>
  <c r="N26" i="17" s="1"/>
  <c r="O26" i="17"/>
  <c r="P26" i="17"/>
  <c r="Q26" i="17"/>
  <c r="M27" i="17"/>
  <c r="N27" i="17" s="1"/>
  <c r="O27" i="17"/>
  <c r="P27" i="17"/>
  <c r="Q27" i="17"/>
  <c r="M28" i="17"/>
  <c r="N28" i="17" s="1"/>
  <c r="O28" i="17"/>
  <c r="P28" i="17"/>
  <c r="Q28" i="17"/>
  <c r="M29" i="17"/>
  <c r="N29" i="17" s="1"/>
  <c r="O29" i="17"/>
  <c r="P29" i="17"/>
  <c r="Q29" i="17"/>
  <c r="M30" i="17"/>
  <c r="N30" i="17" s="1"/>
  <c r="O30" i="17"/>
  <c r="P30" i="17"/>
  <c r="Q30" i="17"/>
  <c r="M31" i="17"/>
  <c r="N31" i="17" s="1"/>
  <c r="O31" i="17"/>
  <c r="P31" i="17"/>
  <c r="Q31" i="17"/>
  <c r="M32" i="17"/>
  <c r="N32" i="17" s="1"/>
  <c r="O32" i="17"/>
  <c r="R32" i="17" s="1"/>
  <c r="P32" i="17"/>
  <c r="Q32" i="17"/>
  <c r="M33" i="17"/>
  <c r="N33" i="17" s="1"/>
  <c r="O33" i="17"/>
  <c r="P33" i="17"/>
  <c r="Q33" i="17"/>
  <c r="M34" i="17"/>
  <c r="N34" i="17" s="1"/>
  <c r="O34" i="17"/>
  <c r="P34" i="17"/>
  <c r="Q34" i="17"/>
  <c r="M35" i="17"/>
  <c r="N35" i="17" s="1"/>
  <c r="O35" i="17"/>
  <c r="P35" i="17"/>
  <c r="Q35" i="17"/>
  <c r="M36" i="17"/>
  <c r="N36" i="17" s="1"/>
  <c r="O36" i="17"/>
  <c r="P36" i="17"/>
  <c r="Q36" i="17"/>
  <c r="M37" i="17"/>
  <c r="N37" i="17" s="1"/>
  <c r="O37" i="17"/>
  <c r="R37" i="17" s="1"/>
  <c r="P37" i="17"/>
  <c r="Q37" i="17"/>
  <c r="M38" i="17"/>
  <c r="N38" i="17"/>
  <c r="O38" i="17"/>
  <c r="P38" i="17"/>
  <c r="Q38" i="17"/>
  <c r="M39" i="17"/>
  <c r="N39" i="17" s="1"/>
  <c r="O39" i="17"/>
  <c r="P39" i="17"/>
  <c r="Q39" i="17"/>
  <c r="R39" i="17" s="1"/>
  <c r="M40" i="17"/>
  <c r="N40" i="17" s="1"/>
  <c r="O40" i="17"/>
  <c r="P40" i="17"/>
  <c r="Q40" i="17"/>
  <c r="M41" i="17"/>
  <c r="N41" i="17" s="1"/>
  <c r="O41" i="17"/>
  <c r="P41" i="17"/>
  <c r="Q41" i="17"/>
  <c r="T41" i="17" s="1"/>
  <c r="M42" i="17"/>
  <c r="N42" i="17" s="1"/>
  <c r="O42" i="17"/>
  <c r="P42" i="17"/>
  <c r="Q42" i="17"/>
  <c r="M43" i="17"/>
  <c r="N43" i="17" s="1"/>
  <c r="O43" i="17"/>
  <c r="P43" i="17"/>
  <c r="Q43" i="17"/>
  <c r="B44" i="17"/>
  <c r="C44" i="17"/>
  <c r="D44" i="17"/>
  <c r="E44" i="17"/>
  <c r="F44" i="17"/>
  <c r="G44" i="17"/>
  <c r="H44" i="17"/>
  <c r="H46" i="17" s="1"/>
  <c r="I44" i="17"/>
  <c r="J44" i="17"/>
  <c r="K44" i="17"/>
  <c r="D45" i="17"/>
  <c r="E45" i="17"/>
  <c r="H45" i="17"/>
  <c r="A49" i="17"/>
  <c r="O49" i="17"/>
  <c r="P49" i="17"/>
  <c r="Q49" i="17"/>
  <c r="A50" i="17"/>
  <c r="P50" i="17"/>
  <c r="Q50" i="17"/>
  <c r="A51" i="17"/>
  <c r="O51" i="17"/>
  <c r="P51" i="17"/>
  <c r="Q51" i="17"/>
  <c r="A52" i="17"/>
  <c r="O52" i="17"/>
  <c r="Q52" i="17"/>
  <c r="A53" i="17"/>
  <c r="O53" i="17"/>
  <c r="P53" i="17"/>
  <c r="Q53" i="17"/>
  <c r="A54" i="17"/>
  <c r="O54" i="17"/>
  <c r="P54" i="17"/>
  <c r="Q54" i="17"/>
  <c r="A55" i="17"/>
  <c r="O55" i="17"/>
  <c r="P55" i="17"/>
  <c r="Q55" i="17"/>
  <c r="A56" i="17"/>
  <c r="O56" i="17"/>
  <c r="P56" i="17"/>
  <c r="Q56" i="17"/>
  <c r="T41" i="24"/>
  <c r="K36" i="24"/>
  <c r="J43" i="24"/>
  <c r="L44" i="23" s="1"/>
  <c r="B43" i="24"/>
  <c r="Q29" i="24"/>
  <c r="S23" i="11"/>
  <c r="S8" i="11"/>
  <c r="M29" i="11"/>
  <c r="R29" i="11" s="1"/>
  <c r="L44" i="11"/>
  <c r="S10" i="11"/>
  <c r="R20" i="18"/>
  <c r="U43" i="11"/>
  <c r="V43" i="11" s="1"/>
  <c r="S20" i="11"/>
  <c r="U20" i="11"/>
  <c r="V20" i="11" s="1"/>
  <c r="D9" i="11"/>
  <c r="W18" i="13"/>
  <c r="E43" i="22"/>
  <c r="H36" i="22"/>
  <c r="V9" i="22"/>
  <c r="T6" i="23"/>
  <c r="U39" i="25"/>
  <c r="S39" i="25"/>
  <c r="S18" i="25"/>
  <c r="U25" i="28"/>
  <c r="S25" i="28"/>
  <c r="P5" i="11"/>
  <c r="V25" i="13"/>
  <c r="W25" i="13" s="1"/>
  <c r="V23" i="13"/>
  <c r="W23" i="13" s="1"/>
  <c r="V19" i="13"/>
  <c r="W19" i="13" s="1"/>
  <c r="V17" i="13"/>
  <c r="W17" i="13" s="1"/>
  <c r="V15" i="13"/>
  <c r="V13" i="13"/>
  <c r="W13" i="13" s="1"/>
  <c r="V11" i="13"/>
  <c r="Q57" i="14"/>
  <c r="L45" i="14"/>
  <c r="K44" i="14"/>
  <c r="K45" i="14" s="1"/>
  <c r="V4" i="22"/>
  <c r="T4" i="22"/>
  <c r="T26" i="23"/>
  <c r="T10" i="23"/>
  <c r="C44" i="24"/>
  <c r="C45" i="24" s="1"/>
  <c r="C45" i="25"/>
  <c r="U15" i="27"/>
  <c r="S15" i="27"/>
  <c r="U10" i="27"/>
  <c r="W15" i="13"/>
  <c r="D44" i="14"/>
  <c r="D45" i="14"/>
  <c r="M36" i="22"/>
  <c r="P41" i="23"/>
  <c r="T14" i="23"/>
  <c r="V13" i="23"/>
  <c r="U41" i="25"/>
  <c r="S41" i="25"/>
  <c r="U37" i="25"/>
  <c r="S37" i="25"/>
  <c r="S40" i="26"/>
  <c r="U40" i="26"/>
  <c r="U24" i="26"/>
  <c r="S16" i="26"/>
  <c r="U16" i="26"/>
  <c r="M44" i="26"/>
  <c r="V23" i="22"/>
  <c r="V11" i="22"/>
  <c r="J45" i="23"/>
  <c r="J44" i="22"/>
  <c r="T31" i="23"/>
  <c r="T18" i="23"/>
  <c r="S14" i="25"/>
  <c r="U14" i="25"/>
  <c r="T9" i="22"/>
  <c r="O36" i="24"/>
  <c r="S36" i="24"/>
  <c r="T30" i="24"/>
  <c r="D43" i="24"/>
  <c r="G29" i="24"/>
  <c r="T28" i="24"/>
  <c r="T24" i="24"/>
  <c r="D44" i="24"/>
  <c r="D45" i="24" s="1"/>
  <c r="U31" i="25"/>
  <c r="S31" i="25"/>
  <c r="S34" i="26"/>
  <c r="U34" i="26"/>
  <c r="S40" i="28"/>
  <c r="U40" i="28"/>
  <c r="S37" i="28"/>
  <c r="U37" i="28"/>
  <c r="V6" i="22"/>
  <c r="T38" i="23"/>
  <c r="P31" i="23"/>
  <c r="V31" i="23" s="1"/>
  <c r="T21" i="23"/>
  <c r="T17" i="23"/>
  <c r="T13" i="23"/>
  <c r="T9" i="23"/>
  <c r="T5" i="23"/>
  <c r="K29" i="24"/>
  <c r="S29" i="24" s="1"/>
  <c r="H43" i="24"/>
  <c r="K43" i="24" s="1"/>
  <c r="T13" i="24"/>
  <c r="T9" i="24"/>
  <c r="U42" i="25"/>
  <c r="S42" i="25"/>
  <c r="U40" i="25"/>
  <c r="U38" i="25"/>
  <c r="S38" i="25"/>
  <c r="S20" i="26"/>
  <c r="U20" i="26"/>
  <c r="S12" i="26"/>
  <c r="U12" i="26"/>
  <c r="I43" i="22"/>
  <c r="P9" i="22"/>
  <c r="W9" i="22" s="1"/>
  <c r="T6" i="22"/>
  <c r="P5" i="22"/>
  <c r="R29" i="23"/>
  <c r="C43" i="23"/>
  <c r="C45" i="23" s="1"/>
  <c r="T27" i="24"/>
  <c r="T25" i="24"/>
  <c r="T21" i="24"/>
  <c r="T19" i="24"/>
  <c r="L44" i="24"/>
  <c r="S27" i="25"/>
  <c r="U27" i="25"/>
  <c r="S23" i="25"/>
  <c r="U23" i="25"/>
  <c r="U20" i="25"/>
  <c r="S19" i="25"/>
  <c r="U19" i="25"/>
  <c r="U16" i="25"/>
  <c r="S15" i="25"/>
  <c r="U15" i="25"/>
  <c r="U42" i="26"/>
  <c r="U26" i="26"/>
  <c r="U18" i="26"/>
  <c r="U10" i="26"/>
  <c r="U6" i="26"/>
  <c r="P29" i="25"/>
  <c r="S8" i="25"/>
  <c r="S4" i="25"/>
  <c r="S39" i="26"/>
  <c r="H45" i="26"/>
  <c r="K43" i="26"/>
  <c r="S33" i="26"/>
  <c r="S27" i="26"/>
  <c r="S23" i="26"/>
  <c r="S15" i="26"/>
  <c r="S11" i="26"/>
  <c r="U30" i="27"/>
  <c r="S30" i="27"/>
  <c r="S41" i="28"/>
  <c r="U41" i="28"/>
  <c r="U17" i="28"/>
  <c r="S17" i="28"/>
  <c r="S42" i="26"/>
  <c r="S38" i="26"/>
  <c r="S26" i="26"/>
  <c r="S22" i="26"/>
  <c r="S18" i="26"/>
  <c r="S14" i="26"/>
  <c r="S8" i="26"/>
  <c r="U37" i="27"/>
  <c r="S37" i="27"/>
  <c r="F43" i="27"/>
  <c r="U9" i="28"/>
  <c r="S9" i="28"/>
  <c r="P43" i="24"/>
  <c r="U34" i="25"/>
  <c r="S33" i="25"/>
  <c r="U30" i="25"/>
  <c r="U8" i="26"/>
  <c r="U35" i="27"/>
  <c r="U23" i="27"/>
  <c r="S23" i="27"/>
  <c r="U20" i="27"/>
  <c r="O39" i="29"/>
  <c r="M39" i="29"/>
  <c r="D43" i="26"/>
  <c r="S6" i="26"/>
  <c r="S4" i="26"/>
  <c r="S41" i="27"/>
  <c r="S40" i="27"/>
  <c r="S34" i="27"/>
  <c r="S33" i="27"/>
  <c r="S27" i="27"/>
  <c r="S26" i="27"/>
  <c r="S18" i="27"/>
  <c r="S11" i="27"/>
  <c r="S10" i="27"/>
  <c r="U5" i="27"/>
  <c r="U27" i="28"/>
  <c r="S27" i="28"/>
  <c r="U19" i="28"/>
  <c r="S19" i="28"/>
  <c r="U11" i="28"/>
  <c r="S11" i="28"/>
  <c r="M21" i="29"/>
  <c r="O4" i="29"/>
  <c r="G36" i="27"/>
  <c r="J43" i="27"/>
  <c r="J44" i="26" s="1"/>
  <c r="J45" i="26" s="1"/>
  <c r="S25" i="27"/>
  <c r="S17" i="27"/>
  <c r="S39" i="28"/>
  <c r="U39" i="28"/>
  <c r="G36" i="28"/>
  <c r="Q36" i="28"/>
  <c r="Q29" i="28"/>
  <c r="G29" i="28"/>
  <c r="U21" i="28"/>
  <c r="U13" i="28"/>
  <c r="S13" i="28"/>
  <c r="U5" i="28"/>
  <c r="S5" i="28"/>
  <c r="O32" i="29"/>
  <c r="M32" i="29"/>
  <c r="O27" i="29"/>
  <c r="S7" i="26"/>
  <c r="S5" i="26"/>
  <c r="U23" i="28"/>
  <c r="S23" i="28"/>
  <c r="U15" i="28"/>
  <c r="S15" i="28"/>
  <c r="U7" i="28"/>
  <c r="S7" i="28"/>
  <c r="O34" i="29"/>
  <c r="M34" i="29"/>
  <c r="F43" i="29"/>
  <c r="U35" i="28"/>
  <c r="S35" i="28"/>
  <c r="U33" i="28"/>
  <c r="S33" i="28"/>
  <c r="U31" i="28"/>
  <c r="S31" i="28"/>
  <c r="M42" i="29"/>
  <c r="O41" i="29"/>
  <c r="M41" i="29"/>
  <c r="O23" i="29"/>
  <c r="M23" i="29"/>
  <c r="O15" i="29"/>
  <c r="M15" i="29"/>
  <c r="M8" i="29"/>
  <c r="O7" i="29"/>
  <c r="M7" i="29"/>
  <c r="S24" i="28"/>
  <c r="U22" i="28"/>
  <c r="S22" i="28"/>
  <c r="U20" i="28"/>
  <c r="S20" i="28"/>
  <c r="U18" i="28"/>
  <c r="S18" i="28"/>
  <c r="U16" i="28"/>
  <c r="S16" i="28"/>
  <c r="U14" i="28"/>
  <c r="S14" i="28"/>
  <c r="U12" i="28"/>
  <c r="S12" i="28"/>
  <c r="U10" i="28"/>
  <c r="S10" i="28"/>
  <c r="U8" i="28"/>
  <c r="S8" i="28"/>
  <c r="U6" i="28"/>
  <c r="S6" i="28"/>
  <c r="U4" i="28"/>
  <c r="S4" i="28"/>
  <c r="M26" i="29"/>
  <c r="O25" i="29"/>
  <c r="M25" i="29"/>
  <c r="M18" i="29"/>
  <c r="O17" i="29"/>
  <c r="M17" i="29"/>
  <c r="M10" i="29"/>
  <c r="O9" i="29"/>
  <c r="M9" i="29"/>
  <c r="O42" i="29"/>
  <c r="O40" i="29"/>
  <c r="O37" i="29"/>
  <c r="O35" i="29"/>
  <c r="O33" i="29"/>
  <c r="O28" i="29"/>
  <c r="O26" i="29"/>
  <c r="O24" i="29"/>
  <c r="O22" i="29"/>
  <c r="O20" i="29"/>
  <c r="O18" i="29"/>
  <c r="O16" i="29"/>
  <c r="O12" i="29"/>
  <c r="O10" i="29"/>
  <c r="O8" i="29"/>
  <c r="O5" i="29"/>
  <c r="E44" i="14"/>
  <c r="E45" i="14" s="1"/>
  <c r="P44" i="23"/>
  <c r="C44" i="22"/>
  <c r="C45" i="22" s="1"/>
  <c r="S36" i="22"/>
  <c r="U29" i="11"/>
  <c r="V29" i="11" s="1"/>
  <c r="K44" i="25"/>
  <c r="I44" i="14"/>
  <c r="I45" i="14" s="1"/>
  <c r="D44" i="23"/>
  <c r="S5" i="11"/>
  <c r="U5" i="11"/>
  <c r="V5" i="11" s="1"/>
  <c r="P36" i="22"/>
  <c r="L46" i="11"/>
  <c r="J45" i="18"/>
  <c r="O52" i="18"/>
  <c r="T60" i="19"/>
  <c r="T57" i="19"/>
  <c r="R55" i="18" s="1"/>
  <c r="T55" i="19"/>
  <c r="T51" i="19"/>
  <c r="T49" i="19"/>
  <c r="T47" i="19"/>
  <c r="T45" i="19"/>
  <c r="T43" i="19"/>
  <c r="T41" i="19"/>
  <c r="T39" i="19"/>
  <c r="T35" i="19"/>
  <c r="T33" i="19"/>
  <c r="T31" i="19"/>
  <c r="T29" i="19"/>
  <c r="B44" i="23"/>
  <c r="U32" i="11"/>
  <c r="V32" i="11" s="1"/>
  <c r="T43" i="17"/>
  <c r="T34" i="17"/>
  <c r="T30" i="17"/>
  <c r="T25" i="17"/>
  <c r="T13" i="17"/>
  <c r="T29" i="18"/>
  <c r="T20" i="18"/>
  <c r="S26" i="11"/>
  <c r="S25" i="11"/>
  <c r="F44" i="11"/>
  <c r="Q6" i="11"/>
  <c r="T54" i="13"/>
  <c r="D46" i="13"/>
  <c r="T42" i="13"/>
  <c r="T41" i="13"/>
  <c r="T36" i="13"/>
  <c r="V35" i="13"/>
  <c r="W35" i="13" s="1"/>
  <c r="T34" i="13"/>
  <c r="W33" i="13"/>
  <c r="T29" i="13"/>
  <c r="V29" i="13"/>
  <c r="W29" i="13" s="1"/>
  <c r="V26" i="13"/>
  <c r="W26" i="13" s="1"/>
  <c r="T25" i="13"/>
  <c r="V22" i="13"/>
  <c r="W22" i="13" s="1"/>
  <c r="T15" i="13"/>
  <c r="T41" i="14"/>
  <c r="V41" i="14"/>
  <c r="T37" i="14"/>
  <c r="V37" i="14"/>
  <c r="W37" i="14" s="1"/>
  <c r="T33" i="14"/>
  <c r="V33" i="14"/>
  <c r="W33" i="14" s="1"/>
  <c r="V31" i="14"/>
  <c r="V27" i="14"/>
  <c r="W27" i="14" s="1"/>
  <c r="T21" i="14"/>
  <c r="V21" i="14"/>
  <c r="W21" i="14" s="1"/>
  <c r="V19" i="14"/>
  <c r="W19" i="14" s="1"/>
  <c r="T17" i="14"/>
  <c r="V17" i="14"/>
  <c r="W17" i="14" s="1"/>
  <c r="V15" i="14"/>
  <c r="W15" i="14" s="1"/>
  <c r="T13" i="14"/>
  <c r="V13" i="14"/>
  <c r="W13" i="14" s="1"/>
  <c r="V11" i="14"/>
  <c r="W11" i="14" s="1"/>
  <c r="T9" i="14"/>
  <c r="V9" i="14"/>
  <c r="W9" i="14" s="1"/>
  <c r="T5" i="14"/>
  <c r="V5" i="14"/>
  <c r="R19" i="18"/>
  <c r="S41" i="11"/>
  <c r="U41" i="11"/>
  <c r="V41" i="11" s="1"/>
  <c r="S31" i="11"/>
  <c r="I44" i="11"/>
  <c r="T23" i="13"/>
  <c r="C45" i="14"/>
  <c r="T32" i="14"/>
  <c r="V32" i="14"/>
  <c r="T28" i="14"/>
  <c r="V28" i="14"/>
  <c r="W28" i="14" s="1"/>
  <c r="T20" i="14"/>
  <c r="V20" i="14"/>
  <c r="T16" i="14"/>
  <c r="V16" i="14"/>
  <c r="W16" i="14" s="1"/>
  <c r="T12" i="14"/>
  <c r="V12" i="14"/>
  <c r="T8" i="14"/>
  <c r="V8" i="14"/>
  <c r="W8" i="14" s="1"/>
  <c r="P37" i="22"/>
  <c r="S37" i="22"/>
  <c r="T37" i="22" s="1"/>
  <c r="N45" i="22"/>
  <c r="N44" i="14"/>
  <c r="N45" i="14" s="1"/>
  <c r="S28" i="22"/>
  <c r="V28" i="22" s="1"/>
  <c r="W28" i="22" s="1"/>
  <c r="T33" i="18"/>
  <c r="O46" i="13"/>
  <c r="F45" i="11"/>
  <c r="V38" i="13"/>
  <c r="W38" i="13"/>
  <c r="T33" i="13"/>
  <c r="T31" i="13"/>
  <c r="V24" i="13"/>
  <c r="W24" i="13"/>
  <c r="T14" i="13"/>
  <c r="T12" i="13"/>
  <c r="T42" i="14"/>
  <c r="V42" i="14"/>
  <c r="W42" i="14"/>
  <c r="V40" i="14"/>
  <c r="W40" i="14" s="1"/>
  <c r="T38" i="14"/>
  <c r="V38" i="14"/>
  <c r="W38" i="14"/>
  <c r="V36" i="14"/>
  <c r="W32" i="14"/>
  <c r="W20" i="14"/>
  <c r="W12" i="14"/>
  <c r="W5" i="14"/>
  <c r="V37" i="22"/>
  <c r="K43" i="23"/>
  <c r="M36" i="23"/>
  <c r="T8" i="24"/>
  <c r="S21" i="25"/>
  <c r="U21" i="25"/>
  <c r="S6" i="25"/>
  <c r="U6" i="25"/>
  <c r="N44" i="25"/>
  <c r="P36" i="26"/>
  <c r="G36" i="26"/>
  <c r="U31" i="26"/>
  <c r="S31" i="26"/>
  <c r="K29" i="29"/>
  <c r="C43" i="29"/>
  <c r="B44" i="14"/>
  <c r="T4" i="14"/>
  <c r="T41" i="22"/>
  <c r="V38" i="22"/>
  <c r="Q36" i="22"/>
  <c r="V34" i="22"/>
  <c r="T33" i="22"/>
  <c r="V24" i="22"/>
  <c r="V16" i="22"/>
  <c r="V14" i="22"/>
  <c r="I43" i="23"/>
  <c r="D43" i="23"/>
  <c r="D45" i="23" s="1"/>
  <c r="T42" i="23"/>
  <c r="T28" i="23"/>
  <c r="P26" i="23"/>
  <c r="V26" i="23" s="1"/>
  <c r="P25" i="23"/>
  <c r="T23" i="23"/>
  <c r="T12" i="23"/>
  <c r="P10" i="23"/>
  <c r="V10" i="23" s="1"/>
  <c r="P9" i="23"/>
  <c r="V9" i="23" s="1"/>
  <c r="E43" i="24"/>
  <c r="S32" i="24"/>
  <c r="T32" i="24" s="1"/>
  <c r="S10" i="24"/>
  <c r="T10" i="24"/>
  <c r="S5" i="24"/>
  <c r="J45" i="25"/>
  <c r="N43" i="25"/>
  <c r="U17" i="25"/>
  <c r="S10" i="25"/>
  <c r="U10" i="25"/>
  <c r="U4" i="25"/>
  <c r="U39" i="26"/>
  <c r="S37" i="26"/>
  <c r="U37" i="26"/>
  <c r="U35" i="26"/>
  <c r="P30" i="26"/>
  <c r="G30" i="26"/>
  <c r="Q36" i="27"/>
  <c r="U6" i="27"/>
  <c r="S6" i="27"/>
  <c r="N45" i="13"/>
  <c r="N46" i="13" s="1"/>
  <c r="V25" i="22"/>
  <c r="V20" i="22"/>
  <c r="V18" i="22"/>
  <c r="W18" i="22" s="1"/>
  <c r="T16" i="23"/>
  <c r="T11" i="23"/>
  <c r="T16" i="24"/>
  <c r="T12" i="24"/>
  <c r="U8" i="25"/>
  <c r="B43" i="26"/>
  <c r="Q36" i="26"/>
  <c r="E43" i="26"/>
  <c r="E44" i="25" s="1"/>
  <c r="E45" i="25" s="1"/>
  <c r="S17" i="26"/>
  <c r="U17" i="26"/>
  <c r="S31" i="27"/>
  <c r="U31" i="27"/>
  <c r="S22" i="22"/>
  <c r="V16" i="23"/>
  <c r="V11" i="23"/>
  <c r="U13" i="25"/>
  <c r="S13" i="26"/>
  <c r="U13" i="26"/>
  <c r="Q247" i="19"/>
  <c r="Q55" i="22"/>
  <c r="Q242" i="19"/>
  <c r="T26" i="19"/>
  <c r="R54" i="23"/>
  <c r="R241" i="19"/>
  <c r="T53" i="19"/>
  <c r="Q58" i="22"/>
  <c r="T58" i="22" s="1"/>
  <c r="M44" i="24"/>
  <c r="G36" i="24"/>
  <c r="C45" i="26"/>
  <c r="S29" i="26"/>
  <c r="U9" i="26"/>
  <c r="U4" i="26"/>
  <c r="U39" i="27"/>
  <c r="K36" i="27"/>
  <c r="S35" i="27"/>
  <c r="U32" i="27"/>
  <c r="U25" i="27"/>
  <c r="U22" i="27"/>
  <c r="M12" i="29"/>
  <c r="T220" i="19"/>
  <c r="R49" i="17" s="1"/>
  <c r="U23" i="26"/>
  <c r="U19" i="26"/>
  <c r="U8" i="27"/>
  <c r="S8" i="27"/>
  <c r="U42" i="28"/>
  <c r="S42" i="28"/>
  <c r="U38" i="27"/>
  <c r="S28" i="27"/>
  <c r="S21" i="27"/>
  <c r="K36" i="29"/>
  <c r="M35" i="29"/>
  <c r="H43" i="28"/>
  <c r="H44" i="27" s="1"/>
  <c r="H45" i="27" s="1"/>
  <c r="T217" i="19"/>
  <c r="T116" i="19"/>
  <c r="T112" i="19"/>
  <c r="R56" i="17" s="1"/>
  <c r="T108" i="19"/>
  <c r="T102" i="19"/>
  <c r="T98" i="19"/>
  <c r="T94" i="19"/>
  <c r="T90" i="19"/>
  <c r="T86" i="19"/>
  <c r="T82" i="19"/>
  <c r="T75" i="19"/>
  <c r="T71" i="19"/>
  <c r="T67" i="19"/>
  <c r="T63" i="19"/>
  <c r="T36" i="19"/>
  <c r="S245" i="19"/>
  <c r="R244" i="19"/>
  <c r="T28" i="19"/>
  <c r="P53" i="22"/>
  <c r="T53" i="22"/>
  <c r="Q248" i="19"/>
  <c r="T32" i="19"/>
  <c r="S246" i="19"/>
  <c r="R245" i="19"/>
  <c r="S241" i="19"/>
  <c r="T118" i="19"/>
  <c r="T114" i="19"/>
  <c r="T110" i="19"/>
  <c r="T104" i="19"/>
  <c r="T100" i="19"/>
  <c r="T96" i="19"/>
  <c r="T92" i="19"/>
  <c r="T88" i="19"/>
  <c r="T84" i="19"/>
  <c r="R51" i="18" s="1"/>
  <c r="T77" i="19"/>
  <c r="T73" i="19"/>
  <c r="T69" i="19"/>
  <c r="T65" i="19"/>
  <c r="T61" i="19"/>
  <c r="T54" i="19"/>
  <c r="R57" i="23"/>
  <c r="T57" i="23" s="1"/>
  <c r="T52" i="19"/>
  <c r="Q54" i="22"/>
  <c r="P54" i="22" s="1"/>
  <c r="T80" i="19"/>
  <c r="Q52" i="22"/>
  <c r="P52" i="22" s="1"/>
  <c r="T215" i="19"/>
  <c r="S247" i="19"/>
  <c r="R246" i="19"/>
  <c r="Q54" i="23"/>
  <c r="T25" i="19"/>
  <c r="S243" i="19"/>
  <c r="Q56" i="22"/>
  <c r="P56" i="22" s="1"/>
  <c r="T134" i="19"/>
  <c r="Q53" i="23"/>
  <c r="T53" i="23" s="1"/>
  <c r="R247" i="19"/>
  <c r="Q245" i="19"/>
  <c r="Q244" i="19"/>
  <c r="R243" i="19"/>
  <c r="S242" i="19"/>
  <c r="S55" i="22"/>
  <c r="Q59" i="22"/>
  <c r="P59" i="22" s="1"/>
  <c r="T188" i="19"/>
  <c r="R248" i="19"/>
  <c r="Q246" i="19"/>
  <c r="T30" i="19"/>
  <c r="R52" i="18" s="1"/>
  <c r="R55" i="22"/>
  <c r="R60" i="22" s="1"/>
  <c r="Q58" i="23"/>
  <c r="P58" i="23"/>
  <c r="T106" i="19"/>
  <c r="T161" i="19"/>
  <c r="T187" i="19"/>
  <c r="T160" i="19"/>
  <c r="T214" i="19"/>
  <c r="P53" i="23"/>
  <c r="I46" i="11"/>
  <c r="H45" i="18"/>
  <c r="H46" i="18"/>
  <c r="B44" i="25"/>
  <c r="T5" i="24"/>
  <c r="S36" i="23"/>
  <c r="W36" i="14"/>
  <c r="R36" i="27"/>
  <c r="D44" i="22"/>
  <c r="D45" i="22" s="1"/>
  <c r="K44" i="22"/>
  <c r="K45" i="22"/>
  <c r="T58" i="23"/>
  <c r="T52" i="22"/>
  <c r="N44" i="24"/>
  <c r="N45" i="24" s="1"/>
  <c r="N45" i="25"/>
  <c r="I44" i="22"/>
  <c r="I45" i="22" s="1"/>
  <c r="U6" i="11"/>
  <c r="V6" i="11" s="1"/>
  <c r="S6" i="11"/>
  <c r="R30" i="31"/>
  <c r="T10" i="31"/>
  <c r="U10" i="31" s="1"/>
  <c r="T17" i="31"/>
  <c r="U17" i="31" s="1"/>
  <c r="T21" i="31"/>
  <c r="U21" i="31" s="1"/>
  <c r="T25" i="31"/>
  <c r="U25" i="31" s="1"/>
  <c r="T34" i="31"/>
  <c r="U34" i="31" s="1"/>
  <c r="T38" i="31"/>
  <c r="U38" i="31" s="1"/>
  <c r="T42" i="31"/>
  <c r="U42" i="31" s="1"/>
  <c r="P45" i="31"/>
  <c r="R40" i="31"/>
  <c r="R36" i="31"/>
  <c r="R32" i="31"/>
  <c r="R28" i="31"/>
  <c r="R23" i="31"/>
  <c r="R15" i="31"/>
  <c r="R12" i="31"/>
  <c r="R8" i="31"/>
  <c r="T7" i="31"/>
  <c r="U7" i="31"/>
  <c r="T11" i="31"/>
  <c r="U11" i="31" s="1"/>
  <c r="T14" i="31"/>
  <c r="U14" i="31"/>
  <c r="T18" i="31"/>
  <c r="U18" i="31" s="1"/>
  <c r="T22" i="31"/>
  <c r="U22" i="31"/>
  <c r="T27" i="31"/>
  <c r="U27" i="31" s="1"/>
  <c r="T31" i="31"/>
  <c r="U31" i="31"/>
  <c r="T39" i="31"/>
  <c r="U39" i="31" s="1"/>
  <c r="T43" i="31"/>
  <c r="U43" i="31"/>
  <c r="P52" i="13"/>
  <c r="T52" i="13"/>
  <c r="P50" i="13"/>
  <c r="Q56" i="13"/>
  <c r="T50" i="13"/>
  <c r="R56" i="13"/>
  <c r="P48" i="13"/>
  <c r="T48" i="13"/>
  <c r="P53" i="13"/>
  <c r="T53" i="13"/>
  <c r="T51" i="13"/>
  <c r="P51" i="13"/>
  <c r="N58" i="11"/>
  <c r="S58" i="11"/>
  <c r="N56" i="11"/>
  <c r="S56" i="11"/>
  <c r="N55" i="11"/>
  <c r="S55" i="11"/>
  <c r="T52" i="23"/>
  <c r="P52" i="23"/>
  <c r="P51" i="23"/>
  <c r="T51" i="23"/>
  <c r="L54" i="18"/>
  <c r="N54" i="11"/>
  <c r="S54" i="11"/>
  <c r="Q60" i="11"/>
  <c r="T56" i="23"/>
  <c r="P56" i="23"/>
  <c r="Q57" i="17"/>
  <c r="O57" i="18"/>
  <c r="L51" i="18"/>
  <c r="P57" i="18"/>
  <c r="L50" i="18"/>
  <c r="L49" i="18"/>
  <c r="Q57" i="18"/>
  <c r="N52" i="11"/>
  <c r="P60" i="11"/>
  <c r="S52" i="11"/>
  <c r="P57" i="23"/>
  <c r="S59" i="23"/>
  <c r="T59" i="22"/>
  <c r="T56" i="22"/>
  <c r="Q60" i="22"/>
  <c r="P55" i="13"/>
  <c r="T55" i="13"/>
  <c r="P54" i="14"/>
  <c r="T54" i="14"/>
  <c r="P52" i="14"/>
  <c r="T52" i="14"/>
  <c r="T50" i="14"/>
  <c r="L52" i="18"/>
  <c r="S53" i="11"/>
  <c r="N53" i="11"/>
  <c r="R60" i="11"/>
  <c r="S56" i="13"/>
  <c r="P55" i="22" l="1"/>
  <c r="W37" i="22"/>
  <c r="T12" i="17"/>
  <c r="V32" i="23"/>
  <c r="S12" i="25"/>
  <c r="U12" i="25"/>
  <c r="Q59" i="23"/>
  <c r="K43" i="29"/>
  <c r="W14" i="22"/>
  <c r="V41" i="23"/>
  <c r="L45" i="23"/>
  <c r="K46" i="17"/>
  <c r="R42" i="17"/>
  <c r="T40" i="17"/>
  <c r="T27" i="17"/>
  <c r="T24" i="17"/>
  <c r="R43" i="18"/>
  <c r="P49" i="13"/>
  <c r="H46" i="11"/>
  <c r="V36" i="13"/>
  <c r="V6" i="13"/>
  <c r="W6" i="13" s="1"/>
  <c r="P56" i="14"/>
  <c r="T55" i="14"/>
  <c r="T53" i="14"/>
  <c r="T51" i="14"/>
  <c r="T49" i="14"/>
  <c r="T40" i="14"/>
  <c r="T36" i="14"/>
  <c r="T29" i="14"/>
  <c r="V26" i="14"/>
  <c r="V22" i="14"/>
  <c r="W22" i="14" s="1"/>
  <c r="T19" i="14"/>
  <c r="S40" i="22"/>
  <c r="V40" i="22" s="1"/>
  <c r="P21" i="22"/>
  <c r="W21" i="22" s="1"/>
  <c r="P14" i="22"/>
  <c r="T8" i="22"/>
  <c r="P6" i="22"/>
  <c r="W6" i="22" s="1"/>
  <c r="P42" i="23"/>
  <c r="V42" i="23" s="1"/>
  <c r="P37" i="23"/>
  <c r="S32" i="23"/>
  <c r="T27" i="23"/>
  <c r="P18" i="23"/>
  <c r="V18" i="23" s="1"/>
  <c r="T15" i="23"/>
  <c r="S26" i="24"/>
  <c r="T26" i="24" s="1"/>
  <c r="S23" i="24"/>
  <c r="T23" i="24" s="1"/>
  <c r="T18" i="24"/>
  <c r="S17" i="24"/>
  <c r="T17" i="24" s="1"/>
  <c r="S7" i="24"/>
  <c r="T7" i="24" s="1"/>
  <c r="P36" i="25"/>
  <c r="S19" i="26"/>
  <c r="S10" i="26"/>
  <c r="U7" i="26"/>
  <c r="L45" i="26"/>
  <c r="U40" i="27"/>
  <c r="K29" i="27"/>
  <c r="L45" i="27"/>
  <c r="T221" i="19"/>
  <c r="T210" i="19"/>
  <c r="T204" i="19"/>
  <c r="T152" i="19"/>
  <c r="T148" i="19"/>
  <c r="T138" i="19"/>
  <c r="R53" i="18" s="1"/>
  <c r="T131" i="19"/>
  <c r="T70" i="19"/>
  <c r="T37" i="19"/>
  <c r="T13" i="31"/>
  <c r="U13" i="31" s="1"/>
  <c r="P57" i="17"/>
  <c r="E46" i="17"/>
  <c r="T35" i="17"/>
  <c r="T17" i="17"/>
  <c r="R13" i="17"/>
  <c r="R31" i="18"/>
  <c r="R27" i="18"/>
  <c r="T26" i="18"/>
  <c r="T18" i="18"/>
  <c r="T10" i="18"/>
  <c r="U39" i="11"/>
  <c r="V39" i="11" s="1"/>
  <c r="U25" i="11"/>
  <c r="V25" i="11" s="1"/>
  <c r="K46" i="13"/>
  <c r="C46" i="13"/>
  <c r="J45" i="11"/>
  <c r="H46" i="13"/>
  <c r="T40" i="13"/>
  <c r="V21" i="13"/>
  <c r="W21" i="13" s="1"/>
  <c r="S44" i="13"/>
  <c r="R45" i="11" s="1"/>
  <c r="V5" i="13"/>
  <c r="F46" i="13"/>
  <c r="W41" i="14"/>
  <c r="W39" i="14"/>
  <c r="T21" i="22"/>
  <c r="V19" i="22"/>
  <c r="T14" i="22"/>
  <c r="P12" i="22"/>
  <c r="W12" i="22" s="1"/>
  <c r="T5" i="22"/>
  <c r="H36" i="23"/>
  <c r="P36" i="23" s="1"/>
  <c r="P33" i="23"/>
  <c r="V33" i="23" s="1"/>
  <c r="T30" i="23"/>
  <c r="B43" i="23"/>
  <c r="B44" i="22" s="1"/>
  <c r="B45" i="22" s="1"/>
  <c r="P28" i="23"/>
  <c r="P8" i="23"/>
  <c r="V8" i="23" s="1"/>
  <c r="H43" i="25"/>
  <c r="H44" i="24" s="1"/>
  <c r="H45" i="24" s="1"/>
  <c r="U24" i="25"/>
  <c r="S35" i="26"/>
  <c r="U14" i="26"/>
  <c r="O43" i="27"/>
  <c r="S9" i="27"/>
  <c r="I45" i="27"/>
  <c r="T212" i="19"/>
  <c r="T117" i="19"/>
  <c r="T50" i="19"/>
  <c r="T30" i="31"/>
  <c r="U30" i="31" s="1"/>
  <c r="R25" i="31"/>
  <c r="R10" i="31"/>
  <c r="T19" i="31"/>
  <c r="U19" i="31" s="1"/>
  <c r="V31" i="13"/>
  <c r="W31" i="13" s="1"/>
  <c r="T22" i="13"/>
  <c r="V14" i="13"/>
  <c r="W14" i="13" s="1"/>
  <c r="V39" i="14"/>
  <c r="T30" i="14"/>
  <c r="V14" i="14"/>
  <c r="W14" i="14" s="1"/>
  <c r="T11" i="14"/>
  <c r="S32" i="22"/>
  <c r="V30" i="22"/>
  <c r="T29" i="22"/>
  <c r="V27" i="22"/>
  <c r="P17" i="22"/>
  <c r="V12" i="22"/>
  <c r="S7" i="22"/>
  <c r="T7" i="22" s="1"/>
  <c r="P38" i="23"/>
  <c r="V38" i="23" s="1"/>
  <c r="E43" i="23"/>
  <c r="E44" i="22" s="1"/>
  <c r="E45" i="22" s="1"/>
  <c r="V24" i="23"/>
  <c r="S39" i="24"/>
  <c r="T39" i="24" s="1"/>
  <c r="Q36" i="24"/>
  <c r="S34" i="25"/>
  <c r="F43" i="26"/>
  <c r="F44" i="25" s="1"/>
  <c r="S24" i="26"/>
  <c r="S22" i="27"/>
  <c r="S19" i="27"/>
  <c r="U30" i="28"/>
  <c r="E43" i="28"/>
  <c r="E44" i="27" s="1"/>
  <c r="M28" i="29"/>
  <c r="T196" i="19"/>
  <c r="T185" i="19"/>
  <c r="T177" i="19"/>
  <c r="T169" i="19"/>
  <c r="T157" i="19"/>
  <c r="T154" i="19"/>
  <c r="T150" i="19"/>
  <c r="T143" i="19"/>
  <c r="T136" i="19"/>
  <c r="T129" i="19"/>
  <c r="T126" i="19"/>
  <c r="T122" i="19"/>
  <c r="T95" i="19"/>
  <c r="T91" i="19"/>
  <c r="T76" i="19"/>
  <c r="T162" i="19"/>
  <c r="P57" i="22"/>
  <c r="R16" i="31"/>
  <c r="T35" i="31"/>
  <c r="U35" i="31" s="1"/>
  <c r="D46" i="17"/>
  <c r="R11" i="17"/>
  <c r="F46" i="17"/>
  <c r="T36" i="18"/>
  <c r="T35" i="18"/>
  <c r="R11" i="18"/>
  <c r="T9" i="18"/>
  <c r="U42" i="11"/>
  <c r="V42" i="11" s="1"/>
  <c r="U34" i="11"/>
  <c r="V34" i="11" s="1"/>
  <c r="U24" i="11"/>
  <c r="V24" i="11" s="1"/>
  <c r="U22" i="11"/>
  <c r="V22" i="11" s="1"/>
  <c r="U19" i="11"/>
  <c r="V19" i="11" s="1"/>
  <c r="S43" i="14"/>
  <c r="W40" i="22"/>
  <c r="F45" i="14"/>
  <c r="G45" i="22"/>
  <c r="S42" i="24"/>
  <c r="S40" i="25"/>
  <c r="D43" i="27"/>
  <c r="M45" i="27"/>
  <c r="U28" i="28"/>
  <c r="T213" i="19"/>
  <c r="T208" i="19"/>
  <c r="T202" i="19"/>
  <c r="T197" i="19"/>
  <c r="T186" i="19"/>
  <c r="T178" i="19"/>
  <c r="T170" i="19"/>
  <c r="T153" i="19"/>
  <c r="T149" i="19"/>
  <c r="T142" i="19"/>
  <c r="T139" i="19"/>
  <c r="R53" i="17" s="1"/>
  <c r="T132" i="19"/>
  <c r="T128" i="19"/>
  <c r="T125" i="19"/>
  <c r="T15" i="31"/>
  <c r="U15" i="31" s="1"/>
  <c r="R42" i="31"/>
  <c r="R26" i="31"/>
  <c r="R6" i="31"/>
  <c r="U32" i="26"/>
  <c r="S32" i="26"/>
  <c r="U26" i="28"/>
  <c r="S26" i="28"/>
  <c r="T7" i="17"/>
  <c r="P44" i="17"/>
  <c r="P59" i="17" s="1"/>
  <c r="V35" i="14"/>
  <c r="W35" i="14" s="1"/>
  <c r="T35" i="14"/>
  <c r="T37" i="23"/>
  <c r="V37" i="23"/>
  <c r="H45" i="25"/>
  <c r="S22" i="25"/>
  <c r="U22" i="25"/>
  <c r="S4" i="27"/>
  <c r="U4" i="27"/>
  <c r="R57" i="14"/>
  <c r="S34" i="11"/>
  <c r="T21" i="18"/>
  <c r="T14" i="18"/>
  <c r="U35" i="25"/>
  <c r="S35" i="25"/>
  <c r="P54" i="23"/>
  <c r="P49" i="14"/>
  <c r="P53" i="14"/>
  <c r="Q241" i="19"/>
  <c r="I44" i="23"/>
  <c r="I45" i="23" s="1"/>
  <c r="S28" i="28"/>
  <c r="R33" i="17"/>
  <c r="R29" i="17"/>
  <c r="T19" i="17"/>
  <c r="G45" i="11"/>
  <c r="V20" i="13"/>
  <c r="W20" i="13" s="1"/>
  <c r="T20" i="13"/>
  <c r="P44" i="24"/>
  <c r="O45" i="25"/>
  <c r="U33" i="25"/>
  <c r="D44" i="26"/>
  <c r="D45" i="27"/>
  <c r="D44" i="25"/>
  <c r="D45" i="25" s="1"/>
  <c r="D45" i="26"/>
  <c r="S34" i="28"/>
  <c r="P45" i="24"/>
  <c r="S32" i="28"/>
  <c r="V10" i="22"/>
  <c r="S24" i="11"/>
  <c r="R21" i="17"/>
  <c r="T21" i="17"/>
  <c r="R19" i="17"/>
  <c r="R17" i="17"/>
  <c r="R30" i="18"/>
  <c r="T30" i="18"/>
  <c r="B45" i="11"/>
  <c r="B46" i="13"/>
  <c r="T32" i="13"/>
  <c r="V32" i="13"/>
  <c r="W32" i="13" s="1"/>
  <c r="V30" i="13"/>
  <c r="W30" i="13" s="1"/>
  <c r="T30" i="13"/>
  <c r="V28" i="13"/>
  <c r="W28" i="13" s="1"/>
  <c r="T28" i="13"/>
  <c r="T24" i="13"/>
  <c r="P26" i="22"/>
  <c r="S26" i="22"/>
  <c r="V26" i="22" s="1"/>
  <c r="T193" i="19"/>
  <c r="R54" i="17" s="1"/>
  <c r="T182" i="19"/>
  <c r="T174" i="19"/>
  <c r="T166" i="19"/>
  <c r="R50" i="17" s="1"/>
  <c r="O50" i="17"/>
  <c r="O57" i="17" s="1"/>
  <c r="T163" i="19"/>
  <c r="V25" i="14"/>
  <c r="W25" i="14" s="1"/>
  <c r="S9" i="25"/>
  <c r="U9" i="25"/>
  <c r="U7" i="27"/>
  <c r="S7" i="27"/>
  <c r="R35" i="17"/>
  <c r="F43" i="25"/>
  <c r="Q29" i="25"/>
  <c r="U5" i="25"/>
  <c r="P43" i="25"/>
  <c r="T54" i="23"/>
  <c r="T59" i="23" s="1"/>
  <c r="P51" i="14"/>
  <c r="P55" i="14"/>
  <c r="O46" i="31"/>
  <c r="O59" i="31" s="1"/>
  <c r="T26" i="31"/>
  <c r="U26" i="31" s="1"/>
  <c r="T54" i="22"/>
  <c r="T107" i="19"/>
  <c r="T242" i="19" s="1"/>
  <c r="V29" i="14"/>
  <c r="W29" i="14" s="1"/>
  <c r="P44" i="13"/>
  <c r="N45" i="11" s="1"/>
  <c r="R38" i="17"/>
  <c r="T38" i="17"/>
  <c r="T36" i="17"/>
  <c r="R36" i="17"/>
  <c r="T28" i="18"/>
  <c r="T11" i="18"/>
  <c r="V43" i="13"/>
  <c r="W43" i="13" s="1"/>
  <c r="T43" i="13"/>
  <c r="P31" i="22"/>
  <c r="P19" i="22"/>
  <c r="W19" i="22" s="1"/>
  <c r="L29" i="29"/>
  <c r="E43" i="29"/>
  <c r="T34" i="19"/>
  <c r="T9" i="13"/>
  <c r="V9" i="13"/>
  <c r="W9" i="13" s="1"/>
  <c r="M43" i="23"/>
  <c r="S24" i="25"/>
  <c r="B45" i="14"/>
  <c r="I46" i="17"/>
  <c r="T37" i="18"/>
  <c r="R37" i="18"/>
  <c r="R13" i="18"/>
  <c r="T13" i="18"/>
  <c r="S28" i="26"/>
  <c r="U28" i="26"/>
  <c r="M30" i="29"/>
  <c r="O30" i="29"/>
  <c r="D43" i="29"/>
  <c r="M27" i="29"/>
  <c r="M24" i="29"/>
  <c r="O19" i="29"/>
  <c r="M19" i="29"/>
  <c r="M16" i="29"/>
  <c r="O13" i="29"/>
  <c r="M13" i="29"/>
  <c r="O11" i="29"/>
  <c r="M11" i="29"/>
  <c r="M4" i="29"/>
  <c r="F45" i="27"/>
  <c r="F44" i="26"/>
  <c r="F45" i="26" s="1"/>
  <c r="K44" i="23"/>
  <c r="K45" i="23" s="1"/>
  <c r="J45" i="24"/>
  <c r="T23" i="14"/>
  <c r="V23" i="14"/>
  <c r="W23" i="14" s="1"/>
  <c r="R43" i="14"/>
  <c r="R45" i="13" s="1"/>
  <c r="U7" i="25"/>
  <c r="S7" i="25"/>
  <c r="T28" i="22"/>
  <c r="V5" i="22"/>
  <c r="W5" i="22" s="1"/>
  <c r="Q44" i="13"/>
  <c r="P45" i="11" s="1"/>
  <c r="T5" i="13"/>
  <c r="S26" i="25"/>
  <c r="U26" i="25"/>
  <c r="E43" i="27"/>
  <c r="G29" i="27"/>
  <c r="G43" i="27" s="1"/>
  <c r="G44" i="26" s="1"/>
  <c r="T133" i="19"/>
  <c r="T57" i="22"/>
  <c r="U41" i="26"/>
  <c r="W31" i="14"/>
  <c r="S30" i="28"/>
  <c r="P58" i="22"/>
  <c r="P60" i="22" s="1"/>
  <c r="O45" i="31"/>
  <c r="R19" i="31"/>
  <c r="T6" i="31"/>
  <c r="U6" i="31" s="1"/>
  <c r="R242" i="19"/>
  <c r="T55" i="22"/>
  <c r="U9" i="27"/>
  <c r="Q29" i="27"/>
  <c r="R30" i="17"/>
  <c r="P27" i="23"/>
  <c r="V27" i="23" s="1"/>
  <c r="B46" i="17"/>
  <c r="T33" i="17"/>
  <c r="T26" i="17"/>
  <c r="R14" i="17"/>
  <c r="G46" i="18"/>
  <c r="T43" i="18"/>
  <c r="R33" i="18"/>
  <c r="R14" i="18"/>
  <c r="R12" i="18"/>
  <c r="T7" i="18"/>
  <c r="D7" i="11"/>
  <c r="P7" i="11" s="1"/>
  <c r="Q7" i="11"/>
  <c r="T49" i="13"/>
  <c r="T56" i="13" s="1"/>
  <c r="P30" i="23"/>
  <c r="V30" i="23" s="1"/>
  <c r="T25" i="23"/>
  <c r="K36" i="26"/>
  <c r="R36" i="26" s="1"/>
  <c r="S36" i="26" s="1"/>
  <c r="R30" i="26"/>
  <c r="R43" i="26" s="1"/>
  <c r="M43" i="26"/>
  <c r="M44" i="25" s="1"/>
  <c r="M45" i="25" s="1"/>
  <c r="N45" i="27"/>
  <c r="N44" i="26"/>
  <c r="N45" i="26" s="1"/>
  <c r="S32" i="27"/>
  <c r="U19" i="27"/>
  <c r="S14" i="27"/>
  <c r="T198" i="19"/>
  <c r="T190" i="19"/>
  <c r="T179" i="19"/>
  <c r="T171" i="19"/>
  <c r="R34" i="31"/>
  <c r="S42" i="11"/>
  <c r="W10" i="22"/>
  <c r="P40" i="23"/>
  <c r="S40" i="23"/>
  <c r="S24" i="27"/>
  <c r="J45" i="22"/>
  <c r="R36" i="18"/>
  <c r="R43" i="17"/>
  <c r="T29" i="17"/>
  <c r="R22" i="17"/>
  <c r="R12" i="17"/>
  <c r="T10" i="17"/>
  <c r="L55" i="18"/>
  <c r="R29" i="18"/>
  <c r="T19" i="18"/>
  <c r="T12" i="18"/>
  <c r="C46" i="11"/>
  <c r="T19" i="13"/>
  <c r="G45" i="14"/>
  <c r="G45" i="13"/>
  <c r="T34" i="14"/>
  <c r="P41" i="22"/>
  <c r="T23" i="22"/>
  <c r="U33" i="26"/>
  <c r="U29" i="26"/>
  <c r="U41" i="27"/>
  <c r="M40" i="29"/>
  <c r="T87" i="19"/>
  <c r="T62" i="19"/>
  <c r="R35" i="31"/>
  <c r="R33" i="31"/>
  <c r="V25" i="23"/>
  <c r="W11" i="13"/>
  <c r="G46" i="17"/>
  <c r="T39" i="17"/>
  <c r="T20" i="17"/>
  <c r="R10" i="17"/>
  <c r="R8" i="17"/>
  <c r="T6" i="17"/>
  <c r="C45" i="18"/>
  <c r="C46" i="18" s="1"/>
  <c r="R32" i="18"/>
  <c r="R10" i="18"/>
  <c r="T6" i="18"/>
  <c r="S43" i="11"/>
  <c r="T21" i="13"/>
  <c r="T6" i="13"/>
  <c r="P25" i="22"/>
  <c r="W25" i="22" s="1"/>
  <c r="T13" i="22"/>
  <c r="T11" i="22"/>
  <c r="V8" i="22"/>
  <c r="T41" i="23"/>
  <c r="P34" i="23"/>
  <c r="V34" i="23" s="1"/>
  <c r="T7" i="23"/>
  <c r="S38" i="28"/>
  <c r="T56" i="19"/>
  <c r="R34" i="17"/>
  <c r="T32" i="17"/>
  <c r="R27" i="17"/>
  <c r="R20" i="17"/>
  <c r="T11" i="17"/>
  <c r="T42" i="18"/>
  <c r="R15" i="18"/>
  <c r="S39" i="11"/>
  <c r="S32" i="11"/>
  <c r="U17" i="11"/>
  <c r="V17" i="11" s="1"/>
  <c r="I46" i="13"/>
  <c r="T17" i="13"/>
  <c r="T26" i="14"/>
  <c r="T22" i="14"/>
  <c r="P13" i="22"/>
  <c r="S13" i="22"/>
  <c r="V13" i="22" s="1"/>
  <c r="P19" i="23"/>
  <c r="V19" i="23" s="1"/>
  <c r="P17" i="23"/>
  <c r="V17" i="23" s="1"/>
  <c r="P14" i="23"/>
  <c r="V14" i="23" s="1"/>
  <c r="S13" i="25"/>
  <c r="T105" i="19"/>
  <c r="T97" i="19"/>
  <c r="T46" i="19"/>
  <c r="T37" i="17"/>
  <c r="R25" i="17"/>
  <c r="T23" i="17"/>
  <c r="T16" i="17"/>
  <c r="L53" i="18"/>
  <c r="L57" i="18" s="1"/>
  <c r="L59" i="18" s="1"/>
  <c r="R28" i="18"/>
  <c r="U31" i="11"/>
  <c r="V31" i="11" s="1"/>
  <c r="S19" i="11"/>
  <c r="V42" i="13"/>
  <c r="W42" i="13" s="1"/>
  <c r="W26" i="14"/>
  <c r="P42" i="22"/>
  <c r="S42" i="22"/>
  <c r="V29" i="22"/>
  <c r="W29" i="22" s="1"/>
  <c r="T26" i="22"/>
  <c r="R36" i="25"/>
  <c r="U36" i="25" s="1"/>
  <c r="S21" i="26"/>
  <c r="U21" i="26"/>
  <c r="U12" i="27"/>
  <c r="T99" i="19"/>
  <c r="R5" i="31"/>
  <c r="T5" i="31"/>
  <c r="U5" i="31" s="1"/>
  <c r="T56" i="14"/>
  <c r="T57" i="14" s="1"/>
  <c r="O45" i="14"/>
  <c r="V10" i="14"/>
  <c r="W10" i="14" s="1"/>
  <c r="V41" i="22"/>
  <c r="R36" i="22"/>
  <c r="T34" i="22"/>
  <c r="P30" i="22"/>
  <c r="W30" i="22" s="1"/>
  <c r="T19" i="22"/>
  <c r="P23" i="23"/>
  <c r="P21" i="23"/>
  <c r="V21" i="23" s="1"/>
  <c r="S31" i="24"/>
  <c r="T31" i="24" s="1"/>
  <c r="S4" i="24"/>
  <c r="S32" i="25"/>
  <c r="S25" i="25"/>
  <c r="U42" i="27"/>
  <c r="U17" i="27"/>
  <c r="T199" i="19"/>
  <c r="T191" i="19"/>
  <c r="T180" i="19"/>
  <c r="T172" i="19"/>
  <c r="T164" i="19"/>
  <c r="T78" i="19"/>
  <c r="T40" i="19"/>
  <c r="T135" i="19"/>
  <c r="T28" i="31"/>
  <c r="U28" i="31" s="1"/>
  <c r="T12" i="31"/>
  <c r="U12" i="31" s="1"/>
  <c r="T36" i="31"/>
  <c r="U36" i="31" s="1"/>
  <c r="R21" i="31"/>
  <c r="T8" i="31"/>
  <c r="U8" i="31" s="1"/>
  <c r="R34" i="32"/>
  <c r="G46" i="13"/>
  <c r="T39" i="13"/>
  <c r="V10" i="13"/>
  <c r="W10" i="13" s="1"/>
  <c r="V30" i="14"/>
  <c r="W30" i="14" s="1"/>
  <c r="T25" i="14"/>
  <c r="V18" i="14"/>
  <c r="W18" i="14" s="1"/>
  <c r="R43" i="22"/>
  <c r="R62" i="22" s="1"/>
  <c r="P23" i="22"/>
  <c r="W23" i="22" s="1"/>
  <c r="P16" i="22"/>
  <c r="W16" i="22" s="1"/>
  <c r="T32" i="23"/>
  <c r="S40" i="24"/>
  <c r="T40" i="24" s="1"/>
  <c r="F43" i="24"/>
  <c r="G43" i="24" s="1"/>
  <c r="S35" i="24"/>
  <c r="T35" i="24" s="1"/>
  <c r="R29" i="24"/>
  <c r="R43" i="24" s="1"/>
  <c r="S22" i="24"/>
  <c r="T22" i="24" s="1"/>
  <c r="S15" i="24"/>
  <c r="T15" i="24" s="1"/>
  <c r="U25" i="26"/>
  <c r="S38" i="27"/>
  <c r="U28" i="27"/>
  <c r="U21" i="27"/>
  <c r="R29" i="28"/>
  <c r="H43" i="29"/>
  <c r="T195" i="19"/>
  <c r="T184" i="19"/>
  <c r="T176" i="19"/>
  <c r="T168" i="19"/>
  <c r="T89" i="19"/>
  <c r="T44" i="19"/>
  <c r="T40" i="31"/>
  <c r="U40" i="31" s="1"/>
  <c r="T32" i="31"/>
  <c r="U32" i="31" s="1"/>
  <c r="R17" i="31"/>
  <c r="R8" i="32"/>
  <c r="P54" i="13"/>
  <c r="P56" i="13" s="1"/>
  <c r="P58" i="13" s="1"/>
  <c r="V41" i="13"/>
  <c r="V39" i="13"/>
  <c r="W39" i="13" s="1"/>
  <c r="T39" i="14"/>
  <c r="V7" i="14"/>
  <c r="W7" i="14" s="1"/>
  <c r="T40" i="22"/>
  <c r="V35" i="22"/>
  <c r="P20" i="22"/>
  <c r="W20" i="22" s="1"/>
  <c r="P35" i="23"/>
  <c r="V35" i="23" s="1"/>
  <c r="T33" i="23"/>
  <c r="P20" i="23"/>
  <c r="V20" i="23" s="1"/>
  <c r="P7" i="23"/>
  <c r="P5" i="23"/>
  <c r="V5" i="23" s="1"/>
  <c r="R36" i="24"/>
  <c r="T36" i="24" s="1"/>
  <c r="U15" i="26"/>
  <c r="S42" i="27"/>
  <c r="U18" i="27"/>
  <c r="T200" i="19"/>
  <c r="T192" i="19"/>
  <c r="R54" i="18" s="1"/>
  <c r="T181" i="19"/>
  <c r="T173" i="19"/>
  <c r="T165" i="19"/>
  <c r="R50" i="18" s="1"/>
  <c r="T111" i="19"/>
  <c r="R56" i="18" s="1"/>
  <c r="T81" i="19"/>
  <c r="T66" i="19"/>
  <c r="T58" i="19"/>
  <c r="R55" i="17" s="1"/>
  <c r="T189" i="19"/>
  <c r="R31" i="31"/>
  <c r="T34" i="23"/>
  <c r="V15" i="23"/>
  <c r="T42" i="24"/>
  <c r="R38" i="31"/>
  <c r="T23" i="31"/>
  <c r="U23" i="31" s="1"/>
  <c r="U13" i="11"/>
  <c r="V13" i="11" s="1"/>
  <c r="T37" i="13"/>
  <c r="V7" i="13"/>
  <c r="W7" i="13" s="1"/>
  <c r="P33" i="22"/>
  <c r="T30" i="22"/>
  <c r="P27" i="22"/>
  <c r="W27" i="22" s="1"/>
  <c r="T25" i="22"/>
  <c r="P24" i="22"/>
  <c r="W24" i="22" s="1"/>
  <c r="T12" i="22"/>
  <c r="P11" i="22"/>
  <c r="W11" i="22" s="1"/>
  <c r="P8" i="22"/>
  <c r="T39" i="23"/>
  <c r="S38" i="24"/>
  <c r="T38" i="24" s="1"/>
  <c r="S33" i="24"/>
  <c r="T33" i="24" s="1"/>
  <c r="S20" i="24"/>
  <c r="T20" i="24" s="1"/>
  <c r="T14" i="24"/>
  <c r="U25" i="25"/>
  <c r="S20" i="25"/>
  <c r="S16" i="25"/>
  <c r="I45" i="26"/>
  <c r="U33" i="27"/>
  <c r="S20" i="27"/>
  <c r="L36" i="29"/>
  <c r="T194" i="19"/>
  <c r="T183" i="19"/>
  <c r="T175" i="19"/>
  <c r="T167" i="19"/>
  <c r="T27" i="19"/>
  <c r="T216" i="19"/>
  <c r="T29" i="31"/>
  <c r="U29" i="31" s="1"/>
  <c r="S45" i="32"/>
  <c r="S59" i="32" s="1"/>
  <c r="T5" i="32"/>
  <c r="T45" i="32" s="1"/>
  <c r="T59" i="32" s="1"/>
  <c r="Q45" i="32"/>
  <c r="R9" i="32" s="1"/>
  <c r="Q43" i="25"/>
  <c r="U36" i="26"/>
  <c r="Q43" i="28"/>
  <c r="Q44" i="27" s="1"/>
  <c r="U29" i="28"/>
  <c r="S29" i="28"/>
  <c r="T24" i="14"/>
  <c r="V24" i="14"/>
  <c r="W24" i="14" s="1"/>
  <c r="V31" i="22"/>
  <c r="W31" i="22" s="1"/>
  <c r="T31" i="22"/>
  <c r="Q43" i="22"/>
  <c r="T241" i="19"/>
  <c r="R52" i="17"/>
  <c r="V22" i="22"/>
  <c r="T22" i="22"/>
  <c r="W5" i="13"/>
  <c r="Q44" i="24"/>
  <c r="S33" i="11"/>
  <c r="U33" i="11"/>
  <c r="V33" i="11" s="1"/>
  <c r="R27" i="11"/>
  <c r="S27" i="11" s="1"/>
  <c r="M44" i="11"/>
  <c r="U21" i="11"/>
  <c r="V21" i="11" s="1"/>
  <c r="S21" i="11"/>
  <c r="S18" i="11"/>
  <c r="U18" i="11"/>
  <c r="V18" i="11" s="1"/>
  <c r="S14" i="11"/>
  <c r="U14" i="11"/>
  <c r="V14" i="11" s="1"/>
  <c r="U11" i="11"/>
  <c r="V11" i="11" s="1"/>
  <c r="S11" i="11"/>
  <c r="O44" i="24"/>
  <c r="E45" i="24"/>
  <c r="E44" i="23"/>
  <c r="Q44" i="11"/>
  <c r="F46" i="11"/>
  <c r="F45" i="18"/>
  <c r="F46" i="18" s="1"/>
  <c r="P9" i="11"/>
  <c r="D44" i="11"/>
  <c r="L44" i="17"/>
  <c r="C46" i="17"/>
  <c r="R15" i="17"/>
  <c r="T15" i="17"/>
  <c r="R9" i="17"/>
  <c r="T9" i="17"/>
  <c r="O44" i="17"/>
  <c r="Q44" i="17"/>
  <c r="T5" i="17"/>
  <c r="T40" i="18"/>
  <c r="R40" i="18"/>
  <c r="T39" i="18"/>
  <c r="R39" i="18"/>
  <c r="R22" i="18"/>
  <c r="T22" i="18"/>
  <c r="T17" i="18"/>
  <c r="R17" i="18"/>
  <c r="O44" i="18"/>
  <c r="R16" i="18"/>
  <c r="T16" i="18"/>
  <c r="B45" i="23"/>
  <c r="S45" i="13"/>
  <c r="S46" i="13" s="1"/>
  <c r="P43" i="26"/>
  <c r="R28" i="17"/>
  <c r="T28" i="17"/>
  <c r="J46" i="17"/>
  <c r="R41" i="17"/>
  <c r="R31" i="17"/>
  <c r="T31" i="17"/>
  <c r="R26" i="17"/>
  <c r="R24" i="17"/>
  <c r="R18" i="17"/>
  <c r="T18" i="17"/>
  <c r="R7" i="17"/>
  <c r="R38" i="18"/>
  <c r="T38" i="18"/>
  <c r="R34" i="18"/>
  <c r="R9" i="18"/>
  <c r="T8" i="18"/>
  <c r="Q44" i="18"/>
  <c r="S57" i="11"/>
  <c r="N57" i="11"/>
  <c r="S37" i="11"/>
  <c r="U37" i="11"/>
  <c r="V37" i="11" s="1"/>
  <c r="S30" i="11"/>
  <c r="U30" i="11"/>
  <c r="V30" i="11" s="1"/>
  <c r="S29" i="11"/>
  <c r="U28" i="11"/>
  <c r="V28" i="11" s="1"/>
  <c r="S28" i="11"/>
  <c r="S22" i="11"/>
  <c r="U8" i="11"/>
  <c r="V8" i="11" s="1"/>
  <c r="U7" i="11"/>
  <c r="V7" i="11" s="1"/>
  <c r="S7" i="11"/>
  <c r="R44" i="13"/>
  <c r="V27" i="13"/>
  <c r="W27" i="13" s="1"/>
  <c r="Q43" i="24"/>
  <c r="T29" i="24"/>
  <c r="T42" i="17"/>
  <c r="R40" i="17"/>
  <c r="R23" i="17"/>
  <c r="T32" i="18"/>
  <c r="R26" i="18"/>
  <c r="R25" i="18"/>
  <c r="T25" i="18"/>
  <c r="R7" i="18"/>
  <c r="R6" i="18"/>
  <c r="R5" i="18"/>
  <c r="P44" i="18"/>
  <c r="T5" i="18"/>
  <c r="J40" i="11"/>
  <c r="J44" i="11" s="1"/>
  <c r="R40" i="11"/>
  <c r="S38" i="11"/>
  <c r="U38" i="11"/>
  <c r="V38" i="11" s="1"/>
  <c r="K44" i="11"/>
  <c r="U27" i="11"/>
  <c r="V27" i="11" s="1"/>
  <c r="U15" i="11"/>
  <c r="V15" i="11" s="1"/>
  <c r="S15" i="11"/>
  <c r="P12" i="11"/>
  <c r="B44" i="11"/>
  <c r="S57" i="14"/>
  <c r="S59" i="14" s="1"/>
  <c r="M45" i="13"/>
  <c r="M46" i="13" s="1"/>
  <c r="P43" i="14"/>
  <c r="N44" i="23"/>
  <c r="N45" i="23" s="1"/>
  <c r="L45" i="24"/>
  <c r="J46" i="18"/>
  <c r="R41" i="18"/>
  <c r="T41" i="18"/>
  <c r="T24" i="18"/>
  <c r="R24" i="18"/>
  <c r="T23" i="18"/>
  <c r="R23" i="18"/>
  <c r="S59" i="11"/>
  <c r="N59" i="11"/>
  <c r="U36" i="11"/>
  <c r="V36" i="11" s="1"/>
  <c r="S36" i="11"/>
  <c r="U35" i="11"/>
  <c r="V35" i="11" s="1"/>
  <c r="S35" i="11"/>
  <c r="S16" i="11"/>
  <c r="U16" i="11"/>
  <c r="V16" i="11" s="1"/>
  <c r="N44" i="11"/>
  <c r="S15" i="22"/>
  <c r="M43" i="22"/>
  <c r="P4" i="22"/>
  <c r="W4" i="22" s="1"/>
  <c r="H43" i="22"/>
  <c r="T20" i="23"/>
  <c r="G44" i="11"/>
  <c r="G46" i="11" s="1"/>
  <c r="W41" i="13"/>
  <c r="V40" i="13"/>
  <c r="W40" i="13" s="1"/>
  <c r="W37" i="13"/>
  <c r="V34" i="13"/>
  <c r="W34" i="13" s="1"/>
  <c r="T27" i="13"/>
  <c r="T26" i="13"/>
  <c r="T16" i="13"/>
  <c r="T8" i="13"/>
  <c r="P50" i="14"/>
  <c r="T6" i="14"/>
  <c r="Q43" i="14"/>
  <c r="L45" i="22"/>
  <c r="P35" i="22"/>
  <c r="V33" i="22"/>
  <c r="W33" i="22" s="1"/>
  <c r="T32" i="22"/>
  <c r="V32" i="22"/>
  <c r="W32" i="22" s="1"/>
  <c r="P22" i="22"/>
  <c r="W22" i="22" s="1"/>
  <c r="P15" i="22"/>
  <c r="V7" i="22"/>
  <c r="W7" i="22" s="1"/>
  <c r="R36" i="23"/>
  <c r="V36" i="23" s="1"/>
  <c r="V23" i="23"/>
  <c r="P22" i="23"/>
  <c r="V22" i="23" s="1"/>
  <c r="R5" i="17"/>
  <c r="E46" i="13"/>
  <c r="E45" i="11"/>
  <c r="E46" i="11" s="1"/>
  <c r="T38" i="13"/>
  <c r="W36" i="13"/>
  <c r="T18" i="13"/>
  <c r="T10" i="13"/>
  <c r="V6" i="14"/>
  <c r="W6" i="14" s="1"/>
  <c r="P38" i="22"/>
  <c r="W38" i="22" s="1"/>
  <c r="T35" i="22"/>
  <c r="P34" i="22"/>
  <c r="W34" i="22" s="1"/>
  <c r="T27" i="22"/>
  <c r="T24" i="22"/>
  <c r="V17" i="22"/>
  <c r="W17" i="22" s="1"/>
  <c r="F43" i="23"/>
  <c r="Q29" i="23"/>
  <c r="T29" i="23" s="1"/>
  <c r="V28" i="23"/>
  <c r="V7" i="23"/>
  <c r="P6" i="23"/>
  <c r="J45" i="14"/>
  <c r="J45" i="13"/>
  <c r="J46" i="13" s="1"/>
  <c r="T38" i="22"/>
  <c r="T16" i="22"/>
  <c r="V39" i="23"/>
  <c r="V12" i="23"/>
  <c r="F45" i="25"/>
  <c r="F44" i="24"/>
  <c r="F45" i="24" s="1"/>
  <c r="P36" i="27"/>
  <c r="B43" i="27"/>
  <c r="S13" i="27"/>
  <c r="U13" i="27"/>
  <c r="J36" i="29"/>
  <c r="B43" i="29"/>
  <c r="S60" i="22"/>
  <c r="R24" i="31"/>
  <c r="T24" i="31"/>
  <c r="U24" i="31" s="1"/>
  <c r="V16" i="13"/>
  <c r="W16" i="13" s="1"/>
  <c r="V8" i="13"/>
  <c r="W8" i="13" s="1"/>
  <c r="S39" i="22"/>
  <c r="V39" i="22" s="1"/>
  <c r="W39" i="22" s="1"/>
  <c r="G45" i="23"/>
  <c r="M43" i="24"/>
  <c r="G29" i="25"/>
  <c r="B43" i="25"/>
  <c r="Q30" i="26"/>
  <c r="S25" i="26"/>
  <c r="U34" i="27"/>
  <c r="K36" i="28"/>
  <c r="R36" i="28" s="1"/>
  <c r="J43" i="28"/>
  <c r="S248" i="19"/>
  <c r="R59" i="23"/>
  <c r="G36" i="25"/>
  <c r="U11" i="25"/>
  <c r="S5" i="27"/>
  <c r="P36" i="28"/>
  <c r="B43" i="28"/>
  <c r="Q46" i="31"/>
  <c r="Q59" i="31" s="1"/>
  <c r="T20" i="31"/>
  <c r="U20" i="31" s="1"/>
  <c r="R20" i="31"/>
  <c r="R43" i="31"/>
  <c r="R37" i="31"/>
  <c r="T37" i="31"/>
  <c r="U37" i="31" s="1"/>
  <c r="R13" i="31"/>
  <c r="H29" i="23"/>
  <c r="T6" i="24"/>
  <c r="S30" i="25"/>
  <c r="I43" i="25"/>
  <c r="K29" i="25"/>
  <c r="R29" i="25" s="1"/>
  <c r="U29" i="25" s="1"/>
  <c r="S28" i="25"/>
  <c r="S17" i="25"/>
  <c r="U27" i="26"/>
  <c r="U11" i="26"/>
  <c r="S12" i="27"/>
  <c r="M37" i="29"/>
  <c r="S244" i="19"/>
  <c r="T101" i="19"/>
  <c r="R14" i="31"/>
  <c r="R9" i="31"/>
  <c r="T9" i="31"/>
  <c r="U9" i="31" s="1"/>
  <c r="U38" i="28"/>
  <c r="M20" i="29"/>
  <c r="T113" i="19"/>
  <c r="T248" i="19" s="1"/>
  <c r="T93" i="19"/>
  <c r="T68" i="19"/>
  <c r="T42" i="19"/>
  <c r="P55" i="23"/>
  <c r="P59" i="23" s="1"/>
  <c r="R18" i="31"/>
  <c r="P46" i="31"/>
  <c r="R39" i="31"/>
  <c r="T33" i="31"/>
  <c r="U33" i="31" s="1"/>
  <c r="R27" i="31"/>
  <c r="T16" i="31"/>
  <c r="U16" i="31" s="1"/>
  <c r="M14" i="29"/>
  <c r="M5" i="29"/>
  <c r="T218" i="19"/>
  <c r="T119" i="19"/>
  <c r="T103" i="19"/>
  <c r="T85" i="19"/>
  <c r="T74" i="19"/>
  <c r="Q243" i="19"/>
  <c r="T48" i="19"/>
  <c r="T41" i="31"/>
  <c r="U41" i="31" s="1"/>
  <c r="R29" i="31"/>
  <c r="R11" i="31"/>
  <c r="R7" i="31"/>
  <c r="Q45" i="31"/>
  <c r="T45" i="31" s="1"/>
  <c r="U45" i="31" s="1"/>
  <c r="R41" i="31"/>
  <c r="R43" i="32" l="1"/>
  <c r="T243" i="19"/>
  <c r="R33" i="32"/>
  <c r="R26" i="32"/>
  <c r="R21" i="32"/>
  <c r="L43" i="29"/>
  <c r="T244" i="19"/>
  <c r="O29" i="29"/>
  <c r="O44" i="26"/>
  <c r="O45" i="26" s="1"/>
  <c r="O45" i="27"/>
  <c r="R12" i="32"/>
  <c r="W35" i="22"/>
  <c r="R44" i="14"/>
  <c r="R45" i="14" s="1"/>
  <c r="S36" i="25"/>
  <c r="R27" i="32"/>
  <c r="R39" i="32"/>
  <c r="R38" i="32"/>
  <c r="R35" i="32"/>
  <c r="R24" i="32"/>
  <c r="T60" i="22"/>
  <c r="R59" i="14"/>
  <c r="S58" i="13"/>
  <c r="N60" i="11"/>
  <c r="R28" i="32"/>
  <c r="R10" i="32"/>
  <c r="R29" i="32"/>
  <c r="R18" i="32"/>
  <c r="R16" i="32"/>
  <c r="W41" i="22"/>
  <c r="R13" i="32"/>
  <c r="M29" i="29"/>
  <c r="W26" i="22"/>
  <c r="R29" i="27"/>
  <c r="R43" i="27" s="1"/>
  <c r="R44" i="26" s="1"/>
  <c r="K43" i="27"/>
  <c r="K44" i="26" s="1"/>
  <c r="K45" i="26" s="1"/>
  <c r="G43" i="26"/>
  <c r="R57" i="18"/>
  <c r="T40" i="23"/>
  <c r="S43" i="23"/>
  <c r="F44" i="23"/>
  <c r="R49" i="32"/>
  <c r="Q59" i="32"/>
  <c r="R50" i="32"/>
  <c r="R54" i="32"/>
  <c r="R51" i="32"/>
  <c r="R32" i="32"/>
  <c r="R56" i="32"/>
  <c r="R53" i="32"/>
  <c r="R52" i="32"/>
  <c r="R55" i="32"/>
  <c r="R5" i="32"/>
  <c r="R25" i="32"/>
  <c r="R20" i="32"/>
  <c r="R11" i="32"/>
  <c r="T36" i="22"/>
  <c r="V36" i="22"/>
  <c r="W36" i="22" s="1"/>
  <c r="R36" i="32"/>
  <c r="V40" i="23"/>
  <c r="V42" i="22"/>
  <c r="W42" i="22" s="1"/>
  <c r="T42" i="22"/>
  <c r="T245" i="19"/>
  <c r="R43" i="28"/>
  <c r="R44" i="27" s="1"/>
  <c r="R45" i="27" s="1"/>
  <c r="P57" i="14"/>
  <c r="P59" i="14" s="1"/>
  <c r="W8" i="22"/>
  <c r="R41" i="32"/>
  <c r="T4" i="24"/>
  <c r="S43" i="24"/>
  <c r="S44" i="23" s="1"/>
  <c r="R42" i="32"/>
  <c r="M45" i="26"/>
  <c r="Q58" i="13"/>
  <c r="S29" i="27"/>
  <c r="U29" i="27"/>
  <c r="Q43" i="27"/>
  <c r="E44" i="26"/>
  <c r="E45" i="26" s="1"/>
  <c r="E45" i="27"/>
  <c r="R15" i="32"/>
  <c r="R17" i="32"/>
  <c r="R7" i="32"/>
  <c r="R23" i="32"/>
  <c r="R22" i="32"/>
  <c r="R37" i="32"/>
  <c r="T246" i="19"/>
  <c r="M44" i="22"/>
  <c r="M45" i="23"/>
  <c r="R44" i="25"/>
  <c r="R45" i="26"/>
  <c r="V43" i="14"/>
  <c r="R40" i="32"/>
  <c r="R6" i="32"/>
  <c r="R14" i="32"/>
  <c r="W13" i="22"/>
  <c r="R30" i="32"/>
  <c r="R31" i="32"/>
  <c r="R19" i="32"/>
  <c r="I45" i="18"/>
  <c r="I46" i="18" s="1"/>
  <c r="J46" i="11"/>
  <c r="R43" i="25"/>
  <c r="S29" i="25"/>
  <c r="P29" i="23"/>
  <c r="V29" i="23" s="1"/>
  <c r="H43" i="23"/>
  <c r="B44" i="27"/>
  <c r="G43" i="28"/>
  <c r="G44" i="27" s="1"/>
  <c r="G45" i="27" s="1"/>
  <c r="B44" i="24"/>
  <c r="B45" i="24" s="1"/>
  <c r="G43" i="25"/>
  <c r="B45" i="25"/>
  <c r="T39" i="22"/>
  <c r="F45" i="23"/>
  <c r="F44" i="22"/>
  <c r="F45" i="22" s="1"/>
  <c r="Q59" i="14"/>
  <c r="Q45" i="13"/>
  <c r="Q46" i="13" s="1"/>
  <c r="Q43" i="23"/>
  <c r="M44" i="14"/>
  <c r="M45" i="14" s="1"/>
  <c r="M45" i="22"/>
  <c r="P45" i="17"/>
  <c r="P46" i="17" s="1"/>
  <c r="P59" i="18"/>
  <c r="Q45" i="24"/>
  <c r="Q44" i="23"/>
  <c r="Q59" i="17"/>
  <c r="D46" i="11"/>
  <c r="D45" i="18"/>
  <c r="D46" i="18" s="1"/>
  <c r="M46" i="11"/>
  <c r="K45" i="18"/>
  <c r="K46" i="18" s="1"/>
  <c r="P59" i="31"/>
  <c r="T46" i="31"/>
  <c r="U46" i="31" s="1"/>
  <c r="R51" i="17"/>
  <c r="T247" i="19"/>
  <c r="I45" i="25"/>
  <c r="K43" i="25"/>
  <c r="I44" i="24"/>
  <c r="I45" i="24" s="1"/>
  <c r="S36" i="28"/>
  <c r="S43" i="28" s="1"/>
  <c r="U36" i="28"/>
  <c r="P43" i="28"/>
  <c r="P44" i="27" s="1"/>
  <c r="T43" i="14"/>
  <c r="U6" i="14"/>
  <c r="V15" i="22"/>
  <c r="W15" i="22" s="1"/>
  <c r="S43" i="22"/>
  <c r="T15" i="22"/>
  <c r="L45" i="18"/>
  <c r="N46" i="11"/>
  <c r="N62" i="11"/>
  <c r="P45" i="13"/>
  <c r="P46" i="13" s="1"/>
  <c r="B46" i="11"/>
  <c r="B45" i="18"/>
  <c r="B46" i="18" s="1"/>
  <c r="P44" i="11"/>
  <c r="S40" i="11"/>
  <c r="U40" i="11"/>
  <c r="V40" i="11" s="1"/>
  <c r="R44" i="18"/>
  <c r="S9" i="18" s="1"/>
  <c r="Q45" i="11"/>
  <c r="Q46" i="11" s="1"/>
  <c r="R46" i="13"/>
  <c r="R58" i="13"/>
  <c r="O59" i="17"/>
  <c r="S9" i="11"/>
  <c r="U9" i="11"/>
  <c r="V9" i="11" s="1"/>
  <c r="R46" i="31"/>
  <c r="S39" i="31" s="1"/>
  <c r="R45" i="31"/>
  <c r="O44" i="23"/>
  <c r="O45" i="23" s="1"/>
  <c r="O43" i="24"/>
  <c r="O45" i="24" s="1"/>
  <c r="M45" i="24"/>
  <c r="B44" i="26"/>
  <c r="B45" i="26" s="1"/>
  <c r="B45" i="27"/>
  <c r="T36" i="23"/>
  <c r="R43" i="23"/>
  <c r="P43" i="22"/>
  <c r="H44" i="14"/>
  <c r="H45" i="14" s="1"/>
  <c r="S23" i="18"/>
  <c r="S12" i="11"/>
  <c r="U12" i="11"/>
  <c r="V12" i="11" s="1"/>
  <c r="K46" i="11"/>
  <c r="R44" i="11"/>
  <c r="R44" i="23"/>
  <c r="S44" i="11"/>
  <c r="S60" i="11"/>
  <c r="P44" i="25"/>
  <c r="P45" i="25" s="1"/>
  <c r="O45" i="17"/>
  <c r="O46" i="17" s="1"/>
  <c r="O59" i="18"/>
  <c r="S43" i="25"/>
  <c r="T28" i="25" s="1"/>
  <c r="P45" i="18"/>
  <c r="P46" i="18" s="1"/>
  <c r="Q62" i="11"/>
  <c r="Q44" i="14"/>
  <c r="Q45" i="14" s="1"/>
  <c r="Q62" i="22"/>
  <c r="U24" i="14"/>
  <c r="R44" i="24"/>
  <c r="R45" i="24" s="1"/>
  <c r="T43" i="24"/>
  <c r="U6" i="24" s="1"/>
  <c r="J44" i="27"/>
  <c r="J45" i="27" s="1"/>
  <c r="K43" i="28"/>
  <c r="K44" i="27" s="1"/>
  <c r="K45" i="27" s="1"/>
  <c r="Q43" i="26"/>
  <c r="S30" i="26"/>
  <c r="O36" i="29"/>
  <c r="J43" i="29"/>
  <c r="O43" i="29" s="1"/>
  <c r="M36" i="29"/>
  <c r="M43" i="29" s="1"/>
  <c r="S36" i="27"/>
  <c r="P43" i="27"/>
  <c r="U36" i="27"/>
  <c r="V6" i="23"/>
  <c r="P43" i="23"/>
  <c r="R44" i="17"/>
  <c r="T44" i="13"/>
  <c r="U16" i="13" s="1"/>
  <c r="S41" i="18"/>
  <c r="S7" i="18"/>
  <c r="U29" i="24"/>
  <c r="Q45" i="17"/>
  <c r="Q46" i="17" s="1"/>
  <c r="Q59" i="18"/>
  <c r="U30" i="26"/>
  <c r="U43" i="26" s="1"/>
  <c r="S17" i="18"/>
  <c r="S39" i="18"/>
  <c r="E45" i="23"/>
  <c r="H44" i="23"/>
  <c r="T33" i="11"/>
  <c r="V44" i="13"/>
  <c r="S11" i="31" l="1"/>
  <c r="S22" i="18"/>
  <c r="S34" i="18"/>
  <c r="S26" i="18"/>
  <c r="U36" i="24"/>
  <c r="T57" i="11"/>
  <c r="S6" i="18"/>
  <c r="S25" i="18"/>
  <c r="G45" i="26"/>
  <c r="G44" i="25"/>
  <c r="Q44" i="26"/>
  <c r="Q45" i="27"/>
  <c r="S27" i="31"/>
  <c r="S49" i="31"/>
  <c r="S6" i="31"/>
  <c r="T14" i="11"/>
  <c r="T28" i="11"/>
  <c r="T7" i="11"/>
  <c r="T15" i="11"/>
  <c r="T29" i="11"/>
  <c r="S5" i="18"/>
  <c r="S45" i="23"/>
  <c r="S44" i="22"/>
  <c r="S61" i="23"/>
  <c r="R45" i="32"/>
  <c r="S37" i="31"/>
  <c r="T21" i="11"/>
  <c r="R57" i="32"/>
  <c r="T36" i="25"/>
  <c r="T16" i="11"/>
  <c r="T36" i="11"/>
  <c r="S40" i="18"/>
  <c r="T30" i="11"/>
  <c r="S5" i="31"/>
  <c r="T35" i="28"/>
  <c r="T12" i="28"/>
  <c r="T17" i="28"/>
  <c r="T21" i="28"/>
  <c r="T7" i="28"/>
  <c r="T39" i="28"/>
  <c r="T31" i="28"/>
  <c r="T9" i="28"/>
  <c r="S44" i="27"/>
  <c r="T18" i="28"/>
  <c r="T5" i="28"/>
  <c r="T22" i="28"/>
  <c r="T28" i="28"/>
  <c r="T30" i="28"/>
  <c r="T13" i="28"/>
  <c r="T24" i="28"/>
  <c r="T14" i="28"/>
  <c r="T38" i="28"/>
  <c r="T42" i="28"/>
  <c r="T20" i="28"/>
  <c r="T19" i="28"/>
  <c r="T26" i="28"/>
  <c r="T37" i="28"/>
  <c r="T11" i="28"/>
  <c r="T27" i="28"/>
  <c r="T32" i="28"/>
  <c r="T34" i="28"/>
  <c r="T15" i="28"/>
  <c r="T25" i="28"/>
  <c r="T6" i="28"/>
  <c r="T16" i="28"/>
  <c r="T41" i="28"/>
  <c r="T8" i="28"/>
  <c r="T40" i="28"/>
  <c r="T33" i="28"/>
  <c r="T10" i="28"/>
  <c r="T23" i="28"/>
  <c r="T4" i="28"/>
  <c r="T29" i="28"/>
  <c r="N19" i="29"/>
  <c r="N16" i="29"/>
  <c r="N34" i="29"/>
  <c r="N39" i="29"/>
  <c r="N10" i="29"/>
  <c r="N24" i="29"/>
  <c r="N8" i="29"/>
  <c r="N15" i="29"/>
  <c r="N7" i="29"/>
  <c r="N17" i="29"/>
  <c r="N27" i="29"/>
  <c r="N28" i="29"/>
  <c r="N33" i="29"/>
  <c r="N18" i="29"/>
  <c r="N23" i="29"/>
  <c r="N41" i="29"/>
  <c r="N30" i="29"/>
  <c r="N35" i="29"/>
  <c r="N32" i="29"/>
  <c r="N22" i="29"/>
  <c r="N25" i="29"/>
  <c r="N11" i="29"/>
  <c r="N40" i="29"/>
  <c r="N42" i="29"/>
  <c r="N9" i="29"/>
  <c r="N13" i="29"/>
  <c r="N4" i="29"/>
  <c r="N21" i="29"/>
  <c r="N26" i="29"/>
  <c r="N12" i="29"/>
  <c r="N29" i="29"/>
  <c r="N5" i="29"/>
  <c r="N20" i="29"/>
  <c r="N37" i="29"/>
  <c r="N14" i="29"/>
  <c r="T38" i="25"/>
  <c r="T14" i="25"/>
  <c r="T19" i="25"/>
  <c r="T20" i="25"/>
  <c r="T26" i="25"/>
  <c r="T9" i="25"/>
  <c r="T31" i="25"/>
  <c r="T13" i="25"/>
  <c r="T42" i="25"/>
  <c r="T27" i="25"/>
  <c r="T35" i="25"/>
  <c r="T15" i="25"/>
  <c r="T39" i="25"/>
  <c r="T16" i="25"/>
  <c r="T37" i="25"/>
  <c r="T7" i="25"/>
  <c r="T32" i="25"/>
  <c r="T22" i="25"/>
  <c r="T33" i="25"/>
  <c r="T10" i="25"/>
  <c r="T6" i="25"/>
  <c r="T4" i="25"/>
  <c r="T21" i="25"/>
  <c r="T18" i="25"/>
  <c r="T23" i="25"/>
  <c r="T41" i="25"/>
  <c r="T34" i="25"/>
  <c r="T25" i="25"/>
  <c r="T5" i="25"/>
  <c r="T44" i="24"/>
  <c r="T45" i="24" s="1"/>
  <c r="T24" i="25"/>
  <c r="T40" i="25"/>
  <c r="T8" i="25"/>
  <c r="T11" i="25"/>
  <c r="T12" i="25"/>
  <c r="R61" i="23"/>
  <c r="R45" i="23"/>
  <c r="R44" i="22"/>
  <c r="R45" i="22" s="1"/>
  <c r="S43" i="27"/>
  <c r="T9" i="11"/>
  <c r="R45" i="17"/>
  <c r="R46" i="17" s="1"/>
  <c r="S37" i="18"/>
  <c r="S14" i="18"/>
  <c r="S27" i="18"/>
  <c r="S31" i="18"/>
  <c r="S52" i="18"/>
  <c r="S32" i="18"/>
  <c r="S30" i="18"/>
  <c r="S55" i="18"/>
  <c r="S53" i="18"/>
  <c r="S49" i="18"/>
  <c r="S51" i="18"/>
  <c r="S13" i="18"/>
  <c r="R59" i="18"/>
  <c r="S29" i="18"/>
  <c r="S43" i="18"/>
  <c r="S56" i="18"/>
  <c r="S28" i="18"/>
  <c r="S15" i="18"/>
  <c r="S19" i="18"/>
  <c r="S18" i="18"/>
  <c r="S36" i="18"/>
  <c r="S12" i="18"/>
  <c r="S21" i="18"/>
  <c r="S10" i="18"/>
  <c r="S50" i="18"/>
  <c r="S33" i="18"/>
  <c r="S54" i="18"/>
  <c r="S8" i="18"/>
  <c r="S20" i="18"/>
  <c r="S42" i="18"/>
  <c r="S11" i="18"/>
  <c r="S35" i="18"/>
  <c r="L45" i="17"/>
  <c r="L46" i="17" s="1"/>
  <c r="L46" i="18"/>
  <c r="T45" i="13"/>
  <c r="U55" i="14"/>
  <c r="U5" i="14"/>
  <c r="U56" i="14"/>
  <c r="U12" i="14"/>
  <c r="U9" i="14"/>
  <c r="U19" i="14"/>
  <c r="U15" i="14"/>
  <c r="U32" i="14"/>
  <c r="U26" i="14"/>
  <c r="U42" i="14"/>
  <c r="U11" i="14"/>
  <c r="U36" i="14"/>
  <c r="T59" i="14"/>
  <c r="U54" i="14"/>
  <c r="U52" i="14"/>
  <c r="U51" i="14"/>
  <c r="U41" i="14"/>
  <c r="U37" i="14"/>
  <c r="U8" i="14"/>
  <c r="U17" i="14"/>
  <c r="U31" i="14"/>
  <c r="U21" i="14"/>
  <c r="U28" i="14"/>
  <c r="U49" i="14"/>
  <c r="U13" i="14"/>
  <c r="U18" i="14"/>
  <c r="U35" i="14"/>
  <c r="U34" i="14"/>
  <c r="U10" i="14"/>
  <c r="U22" i="14"/>
  <c r="U40" i="14"/>
  <c r="U38" i="14"/>
  <c r="U33" i="14"/>
  <c r="U7" i="14"/>
  <c r="U39" i="14"/>
  <c r="U30" i="14"/>
  <c r="U50" i="14"/>
  <c r="U53" i="14"/>
  <c r="U20" i="14"/>
  <c r="U4" i="14"/>
  <c r="U29" i="14"/>
  <c r="U25" i="14"/>
  <c r="U23" i="14"/>
  <c r="U16" i="14"/>
  <c r="U14" i="14"/>
  <c r="U27" i="14"/>
  <c r="S20" i="31"/>
  <c r="S24" i="18"/>
  <c r="Q45" i="23"/>
  <c r="Q44" i="22"/>
  <c r="Q45" i="22" s="1"/>
  <c r="Q61" i="23"/>
  <c r="G44" i="24"/>
  <c r="G45" i="24" s="1"/>
  <c r="G45" i="25"/>
  <c r="S43" i="31"/>
  <c r="R45" i="25"/>
  <c r="S44" i="24"/>
  <c r="S45" i="24" s="1"/>
  <c r="S41" i="31"/>
  <c r="U8" i="13"/>
  <c r="N36" i="29"/>
  <c r="Q44" i="25"/>
  <c r="Q45" i="25" s="1"/>
  <c r="Q45" i="26"/>
  <c r="R45" i="18"/>
  <c r="R46" i="18" s="1"/>
  <c r="T32" i="11"/>
  <c r="T24" i="11"/>
  <c r="T26" i="11"/>
  <c r="T41" i="11"/>
  <c r="T25" i="11"/>
  <c r="T6" i="11"/>
  <c r="T39" i="11"/>
  <c r="T20" i="11"/>
  <c r="T17" i="11"/>
  <c r="T19" i="11"/>
  <c r="T5" i="11"/>
  <c r="T53" i="11"/>
  <c r="T56" i="11"/>
  <c r="T55" i="11"/>
  <c r="T23" i="11"/>
  <c r="T8" i="11"/>
  <c r="T42" i="11"/>
  <c r="T31" i="11"/>
  <c r="T54" i="11"/>
  <c r="T13" i="11"/>
  <c r="T43" i="11"/>
  <c r="T10" i="11"/>
  <c r="T34" i="11"/>
  <c r="S62" i="11"/>
  <c r="T58" i="11"/>
  <c r="T52" i="11"/>
  <c r="T12" i="11"/>
  <c r="S14" i="31"/>
  <c r="S7" i="31"/>
  <c r="T27" i="11"/>
  <c r="S16" i="18"/>
  <c r="T22" i="11"/>
  <c r="T59" i="11"/>
  <c r="T43" i="22"/>
  <c r="T43" i="23"/>
  <c r="U36" i="23" s="1"/>
  <c r="S13" i="31"/>
  <c r="T35" i="11"/>
  <c r="H44" i="22"/>
  <c r="H45" i="22" s="1"/>
  <c r="H45" i="23"/>
  <c r="S18" i="31"/>
  <c r="S45" i="11"/>
  <c r="S46" i="11" s="1"/>
  <c r="T46" i="13"/>
  <c r="U52" i="13"/>
  <c r="U51" i="13"/>
  <c r="U53" i="13"/>
  <c r="U48" i="13"/>
  <c r="U50" i="13"/>
  <c r="U55" i="13"/>
  <c r="U41" i="13"/>
  <c r="U15" i="13"/>
  <c r="U29" i="13"/>
  <c r="U14" i="13"/>
  <c r="U11" i="13"/>
  <c r="U32" i="13"/>
  <c r="U31" i="13"/>
  <c r="U5" i="13"/>
  <c r="U17" i="13"/>
  <c r="U30" i="13"/>
  <c r="U54" i="13"/>
  <c r="U43" i="13"/>
  <c r="U35" i="13"/>
  <c r="U34" i="13"/>
  <c r="U25" i="13"/>
  <c r="T58" i="13"/>
  <c r="U36" i="13"/>
  <c r="U22" i="13"/>
  <c r="U9" i="13"/>
  <c r="U13" i="13"/>
  <c r="U28" i="13"/>
  <c r="U33" i="13"/>
  <c r="U23" i="13"/>
  <c r="U39" i="13"/>
  <c r="U37" i="13"/>
  <c r="U20" i="13"/>
  <c r="U6" i="13"/>
  <c r="U49" i="13"/>
  <c r="U21" i="13"/>
  <c r="U19" i="13"/>
  <c r="U12" i="13"/>
  <c r="U40" i="13"/>
  <c r="U7" i="13"/>
  <c r="U24" i="13"/>
  <c r="U42" i="13"/>
  <c r="U15" i="24"/>
  <c r="U19" i="24"/>
  <c r="U25" i="24"/>
  <c r="U21" i="24"/>
  <c r="U24" i="24"/>
  <c r="U39" i="24"/>
  <c r="U18" i="24"/>
  <c r="U33" i="24"/>
  <c r="U41" i="24"/>
  <c r="U40" i="24"/>
  <c r="U42" i="24"/>
  <c r="U28" i="24"/>
  <c r="U9" i="24"/>
  <c r="U34" i="24"/>
  <c r="T44" i="23"/>
  <c r="U10" i="24"/>
  <c r="U8" i="24"/>
  <c r="U16" i="24"/>
  <c r="U26" i="24"/>
  <c r="U20" i="24"/>
  <c r="U17" i="24"/>
  <c r="U22" i="24"/>
  <c r="U11" i="24"/>
  <c r="U4" i="24"/>
  <c r="U38" i="24"/>
  <c r="U14" i="24"/>
  <c r="U13" i="24"/>
  <c r="U23" i="24"/>
  <c r="U30" i="24"/>
  <c r="U37" i="24"/>
  <c r="U5" i="24"/>
  <c r="U7" i="24"/>
  <c r="U27" i="24"/>
  <c r="U35" i="24"/>
  <c r="U31" i="24"/>
  <c r="U32" i="24"/>
  <c r="U12" i="24"/>
  <c r="Q45" i="18"/>
  <c r="Q46" i="18" s="1"/>
  <c r="R46" i="11"/>
  <c r="R62" i="11"/>
  <c r="P44" i="14"/>
  <c r="P45" i="14" s="1"/>
  <c r="P62" i="22"/>
  <c r="U18" i="13"/>
  <c r="T30" i="25"/>
  <c r="T18" i="11"/>
  <c r="L50" i="17"/>
  <c r="L52" i="17"/>
  <c r="L49" i="17"/>
  <c r="L51" i="17"/>
  <c r="L53" i="17"/>
  <c r="L54" i="17"/>
  <c r="L56" i="17"/>
  <c r="L55" i="17"/>
  <c r="T40" i="11"/>
  <c r="S62" i="22"/>
  <c r="S44" i="14"/>
  <c r="S45" i="14" s="1"/>
  <c r="S45" i="22"/>
  <c r="U26" i="13"/>
  <c r="U10" i="13"/>
  <c r="S9" i="31"/>
  <c r="R57" i="17"/>
  <c r="S56" i="17" s="1"/>
  <c r="S51" i="17"/>
  <c r="T11" i="11"/>
  <c r="S38" i="18"/>
  <c r="U38" i="13"/>
  <c r="S24" i="31"/>
  <c r="P44" i="22"/>
  <c r="P45" i="22" s="1"/>
  <c r="P61" i="23"/>
  <c r="P45" i="23"/>
  <c r="P44" i="26"/>
  <c r="P45" i="26" s="1"/>
  <c r="P45" i="27"/>
  <c r="U27" i="13"/>
  <c r="S43" i="26"/>
  <c r="T17" i="25"/>
  <c r="S50" i="31"/>
  <c r="S53" i="31"/>
  <c r="S17" i="31"/>
  <c r="S16" i="31"/>
  <c r="S30" i="31"/>
  <c r="S23" i="31"/>
  <c r="S32" i="31"/>
  <c r="S40" i="31"/>
  <c r="S52" i="31"/>
  <c r="S22" i="31"/>
  <c r="S26" i="31"/>
  <c r="S10" i="31"/>
  <c r="S33" i="31"/>
  <c r="S15" i="31"/>
  <c r="S12" i="31"/>
  <c r="S51" i="31"/>
  <c r="S56" i="31"/>
  <c r="R59" i="31"/>
  <c r="S21" i="31"/>
  <c r="S35" i="31"/>
  <c r="S31" i="31"/>
  <c r="S38" i="31"/>
  <c r="S28" i="31"/>
  <c r="S19" i="31"/>
  <c r="S55" i="31"/>
  <c r="S54" i="31"/>
  <c r="S42" i="31"/>
  <c r="S25" i="31"/>
  <c r="S34" i="31"/>
  <c r="S36" i="31"/>
  <c r="S8" i="31"/>
  <c r="P46" i="11"/>
  <c r="P62" i="11"/>
  <c r="O45" i="18"/>
  <c r="O46" i="18" s="1"/>
  <c r="T36" i="28"/>
  <c r="K44" i="24"/>
  <c r="K45" i="24" s="1"/>
  <c r="K45" i="25"/>
  <c r="S28" i="17"/>
  <c r="T37" i="11"/>
  <c r="S23" i="17"/>
  <c r="T38" i="11"/>
  <c r="T29" i="25"/>
  <c r="S29" i="31"/>
  <c r="S44" i="18" l="1"/>
  <c r="R59" i="32"/>
  <c r="S46" i="31"/>
  <c r="S7" i="17"/>
  <c r="S52" i="17"/>
  <c r="S45" i="31"/>
  <c r="U43" i="24"/>
  <c r="S24" i="17"/>
  <c r="T44" i="14"/>
  <c r="T45" i="14" s="1"/>
  <c r="U56" i="22"/>
  <c r="U36" i="22"/>
  <c r="U4" i="22"/>
  <c r="U28" i="22"/>
  <c r="U55" i="22"/>
  <c r="U9" i="22"/>
  <c r="U25" i="22"/>
  <c r="U13" i="22"/>
  <c r="U17" i="22"/>
  <c r="U53" i="22"/>
  <c r="U14" i="22"/>
  <c r="U12" i="22"/>
  <c r="U26" i="22"/>
  <c r="U10" i="22"/>
  <c r="U42" i="22"/>
  <c r="U18" i="22"/>
  <c r="U54" i="22"/>
  <c r="U58" i="22"/>
  <c r="U59" i="22"/>
  <c r="U20" i="22"/>
  <c r="U57" i="22"/>
  <c r="T62" i="22"/>
  <c r="U30" i="22"/>
  <c r="U5" i="22"/>
  <c r="U40" i="22"/>
  <c r="U19" i="22"/>
  <c r="U33" i="22"/>
  <c r="U6" i="22"/>
  <c r="U8" i="22"/>
  <c r="U23" i="22"/>
  <c r="U29" i="22"/>
  <c r="U37" i="22"/>
  <c r="U7" i="22"/>
  <c r="U41" i="22"/>
  <c r="U11" i="22"/>
  <c r="U21" i="22"/>
  <c r="U34" i="22"/>
  <c r="U52" i="22"/>
  <c r="U22" i="22"/>
  <c r="U35" i="22"/>
  <c r="U24" i="22"/>
  <c r="U31" i="22"/>
  <c r="U32" i="22"/>
  <c r="U38" i="22"/>
  <c r="U27" i="22"/>
  <c r="U16" i="22"/>
  <c r="T60" i="11"/>
  <c r="S41" i="17"/>
  <c r="U59" i="14"/>
  <c r="U43" i="14"/>
  <c r="U57" i="14"/>
  <c r="S6" i="17"/>
  <c r="S43" i="17"/>
  <c r="S42" i="17"/>
  <c r="S16" i="17"/>
  <c r="S54" i="17"/>
  <c r="S19" i="17"/>
  <c r="S50" i="17"/>
  <c r="S34" i="17"/>
  <c r="S30" i="17"/>
  <c r="T19" i="26"/>
  <c r="T12" i="26"/>
  <c r="T8" i="26"/>
  <c r="T26" i="26"/>
  <c r="T23" i="26"/>
  <c r="T18" i="26"/>
  <c r="T28" i="26"/>
  <c r="T22" i="26"/>
  <c r="T10" i="26"/>
  <c r="T11" i="26"/>
  <c r="T14" i="26"/>
  <c r="S44" i="25"/>
  <c r="S45" i="25" s="1"/>
  <c r="T21" i="26"/>
  <c r="T13" i="26"/>
  <c r="T31" i="26"/>
  <c r="T17" i="26"/>
  <c r="T20" i="26"/>
  <c r="T39" i="26"/>
  <c r="T7" i="26"/>
  <c r="T38" i="26"/>
  <c r="T27" i="26"/>
  <c r="T5" i="26"/>
  <c r="T33" i="26"/>
  <c r="T6" i="26"/>
  <c r="T24" i="26"/>
  <c r="T42" i="26"/>
  <c r="T40" i="26"/>
  <c r="T16" i="26"/>
  <c r="T9" i="26"/>
  <c r="T32" i="26"/>
  <c r="T15" i="26"/>
  <c r="T35" i="26"/>
  <c r="T37" i="26"/>
  <c r="T29" i="26"/>
  <c r="T4" i="26"/>
  <c r="T34" i="26"/>
  <c r="T41" i="26"/>
  <c r="T25" i="26"/>
  <c r="T36" i="26"/>
  <c r="L57" i="17"/>
  <c r="L59" i="17" s="1"/>
  <c r="U56" i="13"/>
  <c r="S15" i="17"/>
  <c r="T18" i="27"/>
  <c r="T10" i="27"/>
  <c r="T37" i="27"/>
  <c r="T15" i="27"/>
  <c r="T9" i="27"/>
  <c r="T24" i="27"/>
  <c r="T38" i="27"/>
  <c r="T39" i="27"/>
  <c r="T29" i="27"/>
  <c r="S44" i="26"/>
  <c r="S45" i="26" s="1"/>
  <c r="T7" i="27"/>
  <c r="T22" i="27"/>
  <c r="T11" i="27"/>
  <c r="T6" i="27"/>
  <c r="T21" i="27"/>
  <c r="T35" i="27"/>
  <c r="S45" i="27"/>
  <c r="T34" i="27"/>
  <c r="T40" i="27"/>
  <c r="T30" i="27"/>
  <c r="T33" i="27"/>
  <c r="T19" i="27"/>
  <c r="T26" i="27"/>
  <c r="T14" i="27"/>
  <c r="T42" i="27"/>
  <c r="T32" i="27"/>
  <c r="T23" i="27"/>
  <c r="T17" i="27"/>
  <c r="T20" i="27"/>
  <c r="T4" i="27"/>
  <c r="T16" i="27"/>
  <c r="T28" i="27"/>
  <c r="T27" i="27"/>
  <c r="T8" i="27"/>
  <c r="T41" i="27"/>
  <c r="T31" i="27"/>
  <c r="T25" i="27"/>
  <c r="T5" i="27"/>
  <c r="T13" i="27"/>
  <c r="T12" i="27"/>
  <c r="S33" i="17"/>
  <c r="S17" i="17"/>
  <c r="S13" i="17"/>
  <c r="S27" i="17"/>
  <c r="S14" i="17"/>
  <c r="S8" i="17"/>
  <c r="R59" i="17"/>
  <c r="S36" i="17"/>
  <c r="S57" i="31"/>
  <c r="S5" i="17"/>
  <c r="S18" i="17"/>
  <c r="S31" i="17"/>
  <c r="S9" i="17"/>
  <c r="U39" i="22"/>
  <c r="T45" i="23"/>
  <c r="T44" i="22"/>
  <c r="T45" i="22" s="1"/>
  <c r="U52" i="23"/>
  <c r="T61" i="23"/>
  <c r="U17" i="23"/>
  <c r="U41" i="23"/>
  <c r="U42" i="23"/>
  <c r="U18" i="23"/>
  <c r="U33" i="23"/>
  <c r="U37" i="23"/>
  <c r="U13" i="23"/>
  <c r="U16" i="23"/>
  <c r="U35" i="23"/>
  <c r="U15" i="23"/>
  <c r="U9" i="23"/>
  <c r="U14" i="23"/>
  <c r="U21" i="23"/>
  <c r="U32" i="23"/>
  <c r="U40" i="23"/>
  <c r="U7" i="23"/>
  <c r="U4" i="23"/>
  <c r="U6" i="23"/>
  <c r="U28" i="23"/>
  <c r="U57" i="23"/>
  <c r="U19" i="23"/>
  <c r="U8" i="23"/>
  <c r="U27" i="23"/>
  <c r="U58" i="23"/>
  <c r="U38" i="23"/>
  <c r="U22" i="23"/>
  <c r="U34" i="23"/>
  <c r="U55" i="23"/>
  <c r="U5" i="23"/>
  <c r="U31" i="23"/>
  <c r="U39" i="23"/>
  <c r="U11" i="23"/>
  <c r="U26" i="23"/>
  <c r="U10" i="23"/>
  <c r="U12" i="23"/>
  <c r="U30" i="23"/>
  <c r="U25" i="23"/>
  <c r="U24" i="23"/>
  <c r="U23" i="23"/>
  <c r="U53" i="23"/>
  <c r="U51" i="23"/>
  <c r="U54" i="23"/>
  <c r="U56" i="23"/>
  <c r="U29" i="23"/>
  <c r="U20" i="23"/>
  <c r="S40" i="17"/>
  <c r="S57" i="18"/>
  <c r="S59" i="18" s="1"/>
  <c r="T30" i="26"/>
  <c r="S39" i="17"/>
  <c r="S11" i="17"/>
  <c r="S37" i="17"/>
  <c r="S22" i="17"/>
  <c r="S55" i="17"/>
  <c r="S21" i="17"/>
  <c r="S32" i="17"/>
  <c r="S10" i="17"/>
  <c r="N43" i="29"/>
  <c r="T43" i="28"/>
  <c r="S26" i="17"/>
  <c r="U58" i="13"/>
  <c r="U44" i="13"/>
  <c r="U15" i="22"/>
  <c r="T62" i="11"/>
  <c r="T44" i="11"/>
  <c r="T43" i="25"/>
  <c r="T36" i="27"/>
  <c r="S12" i="17"/>
  <c r="S49" i="17"/>
  <c r="S29" i="17"/>
  <c r="S25" i="17"/>
  <c r="S53" i="17"/>
  <c r="S20" i="17"/>
  <c r="S35" i="17"/>
  <c r="S38" i="17"/>
  <c r="T63" i="11" l="1"/>
  <c r="U59" i="13"/>
  <c r="U60" i="14"/>
  <c r="U59" i="23"/>
  <c r="U43" i="23"/>
  <c r="T43" i="26"/>
  <c r="U43" i="22"/>
  <c r="S44" i="17"/>
  <c r="U60" i="22"/>
  <c r="S57" i="17"/>
  <c r="T43" i="27"/>
  <c r="S59" i="31"/>
  <c r="U61" i="23" l="1"/>
  <c r="U62" i="22"/>
  <c r="S5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Cicy Zheng</author>
  </authors>
  <commentList>
    <comment ref="E2" authorId="0" shapeId="0" xr:uid="{A1D58FE6-8552-4409-806B-A9F4DF87A779}">
      <text>
        <r>
          <rPr>
            <b/>
            <sz val="10"/>
            <color rgb="FF000000"/>
            <rFont val="Arial"/>
            <family val="2"/>
          </rPr>
          <t xml:space="preserve">Larissa Denham:
</t>
        </r>
        <r>
          <rPr>
            <sz val="10"/>
            <color rgb="FF000000"/>
            <rFont val="Arial"/>
            <family val="2"/>
          </rPr>
          <t xml:space="preserve">Tier 7: 4% above
</t>
        </r>
        <r>
          <rPr>
            <sz val="10"/>
            <color rgb="FF000000"/>
            <rFont val="Arial"/>
            <family val="2"/>
          </rPr>
          <t xml:space="preserve">Tier 6: 3%-4%
</t>
        </r>
        <r>
          <rPr>
            <sz val="10"/>
            <color rgb="FF000000"/>
            <rFont val="Arial"/>
            <family val="2"/>
          </rPr>
          <t xml:space="preserve">Tier 5: 2.5%-3%
</t>
        </r>
        <r>
          <rPr>
            <sz val="10"/>
            <color rgb="FF000000"/>
            <rFont val="Arial"/>
            <family val="2"/>
          </rPr>
          <t xml:space="preserve">Tier 4: 2.0%-2.49%
</t>
        </r>
        <r>
          <rPr>
            <sz val="10"/>
            <color rgb="FF000000"/>
            <rFont val="Arial"/>
            <family val="2"/>
          </rPr>
          <t xml:space="preserve">Tier 3: 1.51%-1.99%
</t>
        </r>
        <r>
          <rPr>
            <sz val="10"/>
            <color rgb="FF000000"/>
            <rFont val="Arial"/>
            <family val="2"/>
          </rPr>
          <t xml:space="preserve">Tier 2: 1.0%-1.50%
</t>
        </r>
        <r>
          <rPr>
            <sz val="10"/>
            <color rgb="FF000000"/>
            <rFont val="Arial"/>
            <family val="2"/>
          </rPr>
          <t>Tier 1: &lt;1.0%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Cicy Zheng</author>
  </authors>
  <commentList>
    <comment ref="E2" authorId="0" shapeId="0" xr:uid="{16C0B6C5-BB85-8047-911A-7B20B5DB59A6}">
      <text>
        <r>
          <rPr>
            <b/>
            <sz val="10"/>
            <color rgb="FF000000"/>
            <rFont val="Arial"/>
            <family val="2"/>
          </rPr>
          <t xml:space="preserve">Larissa Denham:
</t>
        </r>
        <r>
          <rPr>
            <sz val="10"/>
            <color rgb="FF000000"/>
            <rFont val="Arial"/>
            <family val="2"/>
          </rPr>
          <t xml:space="preserve">Tier 7: 4% above
</t>
        </r>
        <r>
          <rPr>
            <sz val="10"/>
            <color rgb="FF000000"/>
            <rFont val="Arial"/>
            <family val="2"/>
          </rPr>
          <t xml:space="preserve">Tier 6: 3%-4%
</t>
        </r>
        <r>
          <rPr>
            <sz val="10"/>
            <color rgb="FF000000"/>
            <rFont val="Arial"/>
            <family val="2"/>
          </rPr>
          <t xml:space="preserve">Tier 5: 2.5%-3%
</t>
        </r>
        <r>
          <rPr>
            <sz val="10"/>
            <color rgb="FF000000"/>
            <rFont val="Arial"/>
            <family val="2"/>
          </rPr>
          <t xml:space="preserve">Tier 4: 2.0%-2.49%
</t>
        </r>
        <r>
          <rPr>
            <sz val="10"/>
            <color rgb="FF000000"/>
            <rFont val="Arial"/>
            <family val="2"/>
          </rPr>
          <t xml:space="preserve">Tier 3: 1.51%-1.99%
</t>
        </r>
        <r>
          <rPr>
            <sz val="10"/>
            <color rgb="FF000000"/>
            <rFont val="Arial"/>
            <family val="2"/>
          </rPr>
          <t xml:space="preserve">Tier 2: 1.0%-1.50%
</t>
        </r>
        <r>
          <rPr>
            <sz val="10"/>
            <color rgb="FF000000"/>
            <rFont val="Arial"/>
            <family val="2"/>
          </rPr>
          <t>Tier 1: &lt;1.0%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CAUL Executive Officer</author>
  </authors>
  <commentList>
    <comment ref="C14" authorId="0" shapeId="0" xr:uid="{00000000-0006-0000-1000-000001000000}">
      <text>
        <r>
          <rPr>
            <b/>
            <sz val="8"/>
            <color indexed="81"/>
            <rFont val="Tahoma"/>
            <family val="2"/>
          </rPr>
          <t>CAUL Executive Officer:</t>
        </r>
        <r>
          <rPr>
            <sz val="8"/>
            <color indexed="81"/>
            <rFont val="Tahoma"/>
            <family val="2"/>
          </rPr>
          <t xml:space="preserve">
from table 4.2
</t>
        </r>
      </text>
    </comment>
    <comment ref="N15" authorId="0" shapeId="0" xr:uid="{00000000-0006-0000-1000-000002000000}">
      <text>
        <r>
          <rPr>
            <b/>
            <sz val="8"/>
            <color indexed="81"/>
            <rFont val="Tahoma"/>
            <family val="2"/>
          </rPr>
          <t>CAUL Executive Officer:</t>
        </r>
        <r>
          <rPr>
            <sz val="8"/>
            <color indexed="81"/>
            <rFont val="Tahoma"/>
            <family val="2"/>
          </rPr>
          <t xml:space="preserve">
from table 4.3
</t>
        </r>
      </text>
    </comment>
    <comment ref="N34" authorId="0" shapeId="0" xr:uid="{00000000-0006-0000-1000-000003000000}">
      <text>
        <r>
          <rPr>
            <b/>
            <sz val="8"/>
            <color indexed="81"/>
            <rFont val="Tahoma"/>
            <family val="2"/>
          </rPr>
          <t>CAUL Executive Officer:</t>
        </r>
        <r>
          <rPr>
            <sz val="8"/>
            <color indexed="81"/>
            <rFont val="Tahoma"/>
            <family val="2"/>
          </rPr>
          <t xml:space="preserve">
from table 4.3</t>
        </r>
      </text>
    </comment>
    <comment ref="F37" authorId="0" shapeId="0" xr:uid="{00000000-0006-0000-1000-000004000000}">
      <text>
        <r>
          <rPr>
            <b/>
            <sz val="8"/>
            <color indexed="81"/>
            <rFont val="Tahoma"/>
            <family val="2"/>
          </rPr>
          <t>CAUL Executive Officer:</t>
        </r>
        <r>
          <rPr>
            <sz val="8"/>
            <color indexed="81"/>
            <rFont val="Tahoma"/>
            <family val="2"/>
          </rPr>
          <t xml:space="preserve">
from table 4.2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Davies</author>
  </authors>
  <commentList>
    <comment ref="M9" authorId="0" shapeId="0" xr:uid="{00000000-0006-0000-1300-000001000000}">
      <text>
        <r>
          <rPr>
            <b/>
            <sz val="8"/>
            <color indexed="81"/>
            <rFont val="Tahoma"/>
            <family val="2"/>
          </rPr>
          <t>Alisha Davies:</t>
        </r>
        <r>
          <rPr>
            <sz val="8"/>
            <color indexed="81"/>
            <rFont val="Tahoma"/>
            <family val="2"/>
          </rPr>
          <t xml:space="preserve">
+ 4,560 TAFE</t>
        </r>
      </text>
    </comment>
    <comment ref="M22" authorId="0" shapeId="0" xr:uid="{00000000-0006-0000-1300-000002000000}">
      <text>
        <r>
          <rPr>
            <b/>
            <sz val="8"/>
            <color indexed="81"/>
            <rFont val="Tahoma"/>
            <family val="2"/>
          </rPr>
          <t>Alisha Davies:</t>
        </r>
        <r>
          <rPr>
            <sz val="8"/>
            <color indexed="81"/>
            <rFont val="Tahoma"/>
            <family val="2"/>
          </rPr>
          <t xml:space="preserve">
+ 10,965 TAFE</t>
        </r>
      </text>
    </comment>
    <comment ref="M24" authorId="0" shapeId="0" xr:uid="{00000000-0006-0000-1300-000003000000}">
      <text>
        <r>
          <rPr>
            <b/>
            <sz val="8"/>
            <color indexed="81"/>
            <rFont val="Tahoma"/>
            <family val="2"/>
          </rPr>
          <t>Alisha Davies:</t>
        </r>
        <r>
          <rPr>
            <sz val="8"/>
            <color indexed="81"/>
            <rFont val="Tahoma"/>
            <family val="2"/>
          </rPr>
          <t xml:space="preserve">
+ 13,967 TAFE</t>
        </r>
      </text>
    </comment>
    <comment ref="M26" authorId="0" shapeId="0" xr:uid="{00000000-0006-0000-1300-000004000000}">
      <text>
        <r>
          <rPr>
            <b/>
            <sz val="8"/>
            <color indexed="81"/>
            <rFont val="Tahoma"/>
            <family val="2"/>
          </rPr>
          <t>Alisha Davies:</t>
        </r>
        <r>
          <rPr>
            <sz val="8"/>
            <color indexed="81"/>
            <rFont val="Tahoma"/>
            <family val="2"/>
          </rPr>
          <t xml:space="preserve">
+ 4,505 TAFE</t>
        </r>
      </text>
    </comment>
    <comment ref="M43" authorId="0" shapeId="0" xr:uid="{00000000-0006-0000-1300-000005000000}">
      <text>
        <r>
          <rPr>
            <b/>
            <sz val="8"/>
            <color indexed="81"/>
            <rFont val="Tahoma"/>
            <family val="2"/>
          </rPr>
          <t>Alisha Davies:</t>
        </r>
        <r>
          <rPr>
            <sz val="8"/>
            <color indexed="81"/>
            <rFont val="Tahoma"/>
            <family val="2"/>
          </rPr>
          <t xml:space="preserve">
+ 16,897 TAFE</t>
        </r>
      </text>
    </comment>
  </commentList>
</comments>
</file>

<file path=xl/sharedStrings.xml><?xml version="1.0" encoding="utf-8"?>
<sst xmlns="http://schemas.openxmlformats.org/spreadsheetml/2006/main" count="3326" uniqueCount="363">
  <si>
    <t>Doctorate by Research</t>
  </si>
  <si>
    <t>Doctorate by Coursework</t>
  </si>
  <si>
    <t>Master's by Research</t>
  </si>
  <si>
    <t>Master's by Coursework</t>
  </si>
  <si>
    <t>Other Postgraduate</t>
  </si>
  <si>
    <t>Bachelor</t>
  </si>
  <si>
    <t>Associate Degree</t>
  </si>
  <si>
    <t>Other Undergraduate</t>
  </si>
  <si>
    <t>Enabling Courses</t>
  </si>
  <si>
    <t>Non-award Courses</t>
  </si>
  <si>
    <t>TOTAL EFTSL</t>
  </si>
  <si>
    <t>Sub-total Postgraduate</t>
  </si>
  <si>
    <t>Sub-total Undergraduate</t>
  </si>
  <si>
    <t>New South Wales</t>
  </si>
  <si>
    <t>Charles Sturt University</t>
  </si>
  <si>
    <t>Macquarie University</t>
  </si>
  <si>
    <t>Southern Cross University</t>
  </si>
  <si>
    <t>The University of New England</t>
  </si>
  <si>
    <t>The University of New South Wales</t>
  </si>
  <si>
    <t>The University of Newcastle</t>
  </si>
  <si>
    <t>The University of Sydney</t>
  </si>
  <si>
    <t>University of Technology, Sydney</t>
  </si>
  <si>
    <t>University of Western Sydney</t>
  </si>
  <si>
    <t>University of Wollongong</t>
  </si>
  <si>
    <t>State Sub-total</t>
  </si>
  <si>
    <t>Victoria</t>
  </si>
  <si>
    <t>La Trobe University</t>
  </si>
  <si>
    <t>Melbourne College of Divinity</t>
  </si>
  <si>
    <t>Monash University</t>
  </si>
  <si>
    <t>RMIT University</t>
  </si>
  <si>
    <t>Swinburne University of Technology</t>
  </si>
  <si>
    <t>The University of Melbourne</t>
  </si>
  <si>
    <t>University of Ballarat</t>
  </si>
  <si>
    <t>Victoria University</t>
  </si>
  <si>
    <t>Queensland</t>
  </si>
  <si>
    <t>Bond University</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</si>
  <si>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</si>
  <si>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</si>
  <si>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</si>
  <si>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</si>
  <si>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</si>
  <si>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</si>
  <si>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</si>
  <si>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</si>
  <si>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 of Technology</t>
  </si>
  <si>
    <t>Edith Cowan University</t>
  </si>
  <si>
    <t>Murdoch University</t>
  </si>
  <si>
    <t>The University of Notre Dame Australia</t>
  </si>
  <si>
    <t>The University of Western Australia</t>
  </si>
  <si>
    <t>South Australia</t>
  </si>
  <si>
    <t>The Flinders University of South Australia</t>
  </si>
  <si>
    <t>The University of Adelaide</t>
  </si>
  <si>
    <t>University of South Australia</t>
  </si>
  <si>
    <t>Tasmania</t>
  </si>
  <si>
    <t>University of Tasmania</t>
  </si>
  <si>
    <t>Northern Territory</t>
  </si>
  <si>
    <t>Batchelor Institute of Indigenous Tertiary Education</t>
  </si>
  <si>
    <t>Charles Darwin University</t>
  </si>
  <si>
    <t>Australian Capital Territory</t>
  </si>
  <si>
    <t>The Australian National University</t>
  </si>
  <si>
    <t>University of Canberra</t>
  </si>
  <si>
    <t>Multi-State</t>
  </si>
  <si>
    <t>Australian Catholic University</t>
  </si>
  <si>
    <t>Deakin University</t>
  </si>
  <si>
    <t>Non-table A/B providers</t>
  </si>
  <si>
    <t>Total 2009</t>
  </si>
  <si>
    <t>% change on 2009</t>
  </si>
  <si>
    <t>Table 4.1: Actual Student Load (EFTSL) for All Students by State, Higher Education Provider and Broad Level of Course, Full Year 2010</t>
  </si>
  <si>
    <t>&lt; 10</t>
  </si>
  <si>
    <t>np</t>
  </si>
  <si>
    <t>np not published.</t>
  </si>
  <si>
    <t>State/Provider(a)</t>
  </si>
  <si>
    <t xml:space="preserve">(a) Please refer to: </t>
  </si>
  <si>
    <t xml:space="preserve">List of Higher Education Providers by state and type of provider (Table A, B, C and Other private providers) </t>
  </si>
  <si>
    <t>Flinders University of South Australia</t>
  </si>
  <si>
    <t>University of Adelaide</t>
  </si>
  <si>
    <t>University of Melbourne</t>
  </si>
  <si>
    <t>University of New England</t>
  </si>
  <si>
    <t>University of New South Wales</t>
  </si>
  <si>
    <t>University of Newcastle</t>
  </si>
  <si>
    <t>University of Notre Dame Australia</t>
  </si>
  <si>
    <t>University of Queensland</t>
  </si>
  <si>
    <t>University of Sydney</t>
  </si>
  <si>
    <t>University of Western Australia</t>
  </si>
  <si>
    <t>Australian National University</t>
  </si>
  <si>
    <t>These two cells add up to the total correctly, but the breakdown between the two is unknown</t>
  </si>
  <si>
    <t>P/G by research</t>
  </si>
  <si>
    <t>P/G by course work</t>
  </si>
  <si>
    <t>U/G</t>
  </si>
  <si>
    <t>Weight 10:3:1</t>
  </si>
  <si>
    <t>% of total weight</t>
  </si>
  <si>
    <t>check!</t>
  </si>
  <si>
    <t>Fudge figures by changing all "&lt;10" to "5", and by calculating what the "np" should be from the sub-totals and the total.  Where 2 or more "np" for the same uni, then use figure from table 4.2 - domestic students or calculate the total for the two cells.</t>
  </si>
  <si>
    <t>Table 4.1: Actual Student Load (EFTSL) for All Students by State, Higher Education Provider and Broad Level of Course, Full Year 2009</t>
  </si>
  <si>
    <t>State/Higher Education Provider</t>
  </si>
  <si>
    <t>Postgraduate Cross Institution</t>
  </si>
  <si>
    <t>Undergraduate Cross Institution</t>
  </si>
  <si>
    <t>Research P/G</t>
  </si>
  <si>
    <t>Coursework P/G</t>
  </si>
  <si>
    <t>Weighted FTE 1:3:10</t>
  </si>
  <si>
    <t>% of total weighting</t>
  </si>
  <si>
    <t>Total 2008</t>
  </si>
  <si>
    <t>% change on 2008</t>
  </si>
  <si>
    <t>Table 35: Actual Student Load (EFTSL) for All Students by State, Higher Education Provider and Broad Level of Course, Full Year 2008</t>
  </si>
  <si>
    <t>Total 2007</t>
  </si>
  <si>
    <t>% change on 2007</t>
  </si>
  <si>
    <t>(a) The Australian Maritime College is reported as a part of the University of Tasmania. These were previously reported separately.</t>
  </si>
  <si>
    <t>Students and EFTS enrolled in Universities by type of courses 2008-2011</t>
  </si>
  <si>
    <t>Students</t>
  </si>
  <si>
    <t>EFTS</t>
  </si>
  <si>
    <t>Provider</t>
  </si>
  <si>
    <t>Type of course</t>
  </si>
  <si>
    <t>University of Auckland</t>
  </si>
  <si>
    <t>Non-degree</t>
  </si>
  <si>
    <t>Undergraduate degree</t>
  </si>
  <si>
    <t>Taught post-graduate</t>
  </si>
  <si>
    <t>Research-based post-graduate</t>
  </si>
  <si>
    <t>Foreign research-based post-graduate</t>
  </si>
  <si>
    <t>Unknown</t>
  </si>
  <si>
    <t>Total</t>
  </si>
  <si>
    <t>University of Waikato</t>
  </si>
  <si>
    <t>Massey University</t>
  </si>
  <si>
    <t>Victoria University of Wellington</t>
  </si>
  <si>
    <t>University of Canterbury</t>
  </si>
  <si>
    <t>Lincoln University</t>
  </si>
  <si>
    <t>University of Otago</t>
  </si>
  <si>
    <t>Auckland University of Technology</t>
  </si>
  <si>
    <t>Notes:</t>
  </si>
  <si>
    <t>Data relates to students enrolled at any time during the year with a tertiary education provider in formal qualifications of greater than 0.03 EFTS (more than one week's duration).</t>
  </si>
  <si>
    <t>Data excludes all non-formal learning and on-job industry training.</t>
  </si>
  <si>
    <t>Students who were enrolled in more than one provider have been counted in each provider. Consequently, the sum of the providers may not add to the total number of students.</t>
  </si>
  <si>
    <t>Students who were enrolled in more than one course type have been counted in each type. Consequently, the sum of the course types may not add to the total number of students.</t>
  </si>
  <si>
    <t>TOTAL CAUL/CONZUL EFTSL</t>
  </si>
  <si>
    <t>Unknown are students enrolled in courses that are not SAC (student achievement component) funded. These are asssumed to be International undergraduates.</t>
  </si>
  <si>
    <t>TOTAL NZ EFTSL weighted</t>
  </si>
  <si>
    <t>AgResearch Ltd</t>
  </si>
  <si>
    <t>AIMS</t>
  </si>
  <si>
    <t>ANSTO</t>
  </si>
  <si>
    <t>Avondale College</t>
  </si>
  <si>
    <t>CSIRO</t>
  </si>
  <si>
    <t>DSTO</t>
  </si>
  <si>
    <t>DAFWA (Department of Agriculture and Food WA) (formerly AgWest, Department of Agriculture WA)</t>
  </si>
  <si>
    <t>DEEWR (formerly DEWR, OASCC &amp; NOHSC)</t>
  </si>
  <si>
    <t>DEEDI (Department of Employment, Economic Development &amp; Innovation) (formerly DPIFQ)</t>
  </si>
  <si>
    <t>DPI (VIC)</t>
  </si>
  <si>
    <t>Industrial Research Ltd (IRL)</t>
  </si>
  <si>
    <t>Landcare Research</t>
  </si>
  <si>
    <t>National Gallery of Australia (NGA)</t>
  </si>
  <si>
    <t>National Institute of Water &amp; Atmospheric Research (NIWA)</t>
  </si>
  <si>
    <t>Open Polytechnic of NZ (OPIT)</t>
  </si>
  <si>
    <t>Peter MacCallum Cancer Centre</t>
  </si>
  <si>
    <t>Plant &amp; Food Research (formerly CFR &amp; Hort Research)</t>
  </si>
  <si>
    <t>Scion Research (Forest Research)</t>
  </si>
  <si>
    <t>Trade and Investment NSW (formerly Industry and Investment NSW, DPINSW, AgNSW &amp; NSWFish)</t>
  </si>
  <si>
    <t>Therapeutic Goods Administration (TGA)</t>
  </si>
  <si>
    <t>Unitec (NZ)</t>
  </si>
  <si>
    <t>University of the South Pacific</t>
  </si>
  <si>
    <t>Updated 26/7/12dmc</t>
  </si>
  <si>
    <t>Table 4.1: Actual Student Load (EFTSL) for All Students by State, Higher Education Provider and Broad Level of Course, Full Year 2012</t>
  </si>
  <si>
    <t>Numbers less than five have been entered as &lt;5, and at least one other cell in the same row is either entered as &lt;5 for the same reason, or np if 5 or more, "To prevent cells that have been primarily suppressed from being calculated, other cells may also need to be suppressed."  The former have been changed to 3 by caul, and the other numbers in the row entered as a best guess to match the total eftsl column.</t>
  </si>
  <si>
    <t>Charles Darwin University(b)</t>
  </si>
  <si>
    <t>Total 2011</t>
  </si>
  <si>
    <t>Table 4.1: Actual Student Load (EFTSL) for All Students by State, Higher Education Provider and Broad Level of Course, Full Year 2011</t>
  </si>
  <si>
    <t>Total 2010</t>
  </si>
  <si>
    <t>Domestic and international Equivalent full-time student units (EFTS) by sub-sector, provider and qualification level 2005-2012</t>
  </si>
  <si>
    <t>Sub-sector</t>
  </si>
  <si>
    <t>Domestic / 
International</t>
  </si>
  <si>
    <t>Year</t>
  </si>
  <si>
    <t>Certificates 1</t>
  </si>
  <si>
    <t>Certificates 2</t>
  </si>
  <si>
    <t>Certificates 3</t>
  </si>
  <si>
    <t>Certificates 4</t>
  </si>
  <si>
    <t>Diplomas 5-7</t>
  </si>
  <si>
    <t>Bachelors degrees</t>
  </si>
  <si>
    <t>Graduate certificates/diplomas</t>
  </si>
  <si>
    <t>Honours &amp; postgrad. cert/dips.</t>
  </si>
  <si>
    <t>Masters</t>
  </si>
  <si>
    <t>Doctorates</t>
  </si>
  <si>
    <t>Universities</t>
  </si>
  <si>
    <t>Domestic</t>
  </si>
  <si>
    <t>International</t>
  </si>
  <si>
    <t>Polytechnics</t>
  </si>
  <si>
    <t>Aoraki Polytechnic</t>
  </si>
  <si>
    <t>Bay of Plenty Polytechnic</t>
  </si>
  <si>
    <t>Unitec New Zealand</t>
  </si>
  <si>
    <t>Christchurch Polytechnic Institute of Technology</t>
  </si>
  <si>
    <t>Eastern Institute of Technology</t>
  </si>
  <si>
    <t>Wellington Institute of Technology</t>
  </si>
  <si>
    <t>Universal College of Learning</t>
  </si>
  <si>
    <t>Manukau Institute of Technology</t>
  </si>
  <si>
    <t>Nelson Marlborough Inst of Technology</t>
  </si>
  <si>
    <t>Northland Polytechnic</t>
  </si>
  <si>
    <t>Otago Polytechnic</t>
  </si>
  <si>
    <t>Whitireia Community Polytechnic</t>
  </si>
  <si>
    <t>Southern Institute of Technology</t>
  </si>
  <si>
    <t>Eastern Institute of Technology (Tairawhiti)</t>
  </si>
  <si>
    <t>Western Institute of Technology Taranaki</t>
  </si>
  <si>
    <t>Waiariki Institute of Technology</t>
  </si>
  <si>
    <t>Waikato Institute of Technology</t>
  </si>
  <si>
    <t>Open Polytechnic</t>
  </si>
  <si>
    <t>Tai Poutini Polytechnic</t>
  </si>
  <si>
    <t>Telford Rural Polytechnic</t>
  </si>
  <si>
    <t>Colleges of education</t>
  </si>
  <si>
    <t>Christchurch College of Education</t>
  </si>
  <si>
    <t>Dunedin College of Education</t>
  </si>
  <si>
    <t>Wananga</t>
  </si>
  <si>
    <t>Te Wananga O Aotearoa</t>
  </si>
  <si>
    <t>Te Wananga O Raukawa</t>
  </si>
  <si>
    <t>Te Whare Wananga O Awanuiarangi</t>
  </si>
  <si>
    <t>Public providers</t>
  </si>
  <si>
    <t>Private training establishments</t>
  </si>
  <si>
    <t>EFTS relates to the academic EFTS value of the qualification for the current enrolment year.</t>
  </si>
  <si>
    <t>Data relates to students enrolled at any time during the year with a tertiary education provider in formal qualifications of greater than 0.03 EFTS.</t>
  </si>
  <si>
    <t>Data excludes those private training establishments which did not receive government tuition subsidies.</t>
  </si>
  <si>
    <t>Private training establishment includes other tertiary education providers (OTEPs).</t>
  </si>
  <si>
    <t>Students who were enrolled in more than one sub-sector have been counted in each sub-sector. Consequently, the sum of the sub-sectors may not add to the total number of students.</t>
  </si>
  <si>
    <t>Telford Rural Polytechnic was merged with Lincoln University in 2011.</t>
  </si>
  <si>
    <t>Eastern Institute of Technology (Tairawhiti) merged with Eastern Institute of Technology in 2011</t>
  </si>
  <si>
    <t>Students who were enrolled at more than one qualification level have been counted in each level. Consequently, the sum of the levels may not add to the total number of students.</t>
  </si>
  <si>
    <t>Certificates 1, 2 and 3 are reported separately.</t>
  </si>
  <si>
    <t>Totals also include those students with unknown values.</t>
  </si>
  <si>
    <t>From 1 January 2007 the last remaining colleges of education merged with their local universities.</t>
  </si>
  <si>
    <t>Data in this table has been revised, and so may differ from previously published figures.</t>
  </si>
  <si>
    <t>New Zealand</t>
  </si>
  <si>
    <t>Master's (Extended)</t>
  </si>
  <si>
    <t>Total 2012</t>
  </si>
  <si>
    <t>Equivalent full-time student units (EFTS) by sub-sector, provider and qualification level 2006-2013</t>
  </si>
  <si>
    <t>Difference</t>
  </si>
  <si>
    <t>EFTS enrolled</t>
  </si>
  <si>
    <t>Institutes of technology and polytechnics</t>
  </si>
  <si>
    <t>Christchurch Polytechnic Inst of Technology</t>
  </si>
  <si>
    <t>Christchurch Polytechnic Inst of Tech</t>
  </si>
  <si>
    <t>Eastern Institute of Tech (Tairawhiti)</t>
  </si>
  <si>
    <t>The Open Polytechnic of New Zealand</t>
  </si>
  <si>
    <t>Wānanga</t>
  </si>
  <si>
    <t xml:space="preserve">Private training establishment </t>
  </si>
  <si>
    <t>Central Institute of Technology merged with Hutt Valley Polytechnic on 1/1/2001 and became Wellington Institute of Technology.</t>
  </si>
  <si>
    <t>Check!</t>
  </si>
  <si>
    <t>Diff</t>
  </si>
  <si>
    <t>Table 35: Actual Student Load (EFTSL) for All Students by State, Higher Education Provider and Broad Level of Course, Full Year 2007</t>
  </si>
  <si>
    <t>Australian Maritime College</t>
  </si>
  <si>
    <t>Total 2006</t>
  </si>
  <si>
    <t>% change on 2006</t>
  </si>
  <si>
    <t xml:space="preserve">(a) New South Wales data include Australian Defence Force Academy data in 2006 and 2007. In previous years, Australian Defence Force Academy were </t>
  </si>
  <si>
    <t>reported with the Australian Capital Territory.</t>
  </si>
  <si>
    <t>Table 35: Actual Student Load (EFTSL) for All Students by State, Higher Education Provider and Broad Level of Course, Full Year 2006</t>
  </si>
  <si>
    <t>Australian Defence Force Academy</t>
  </si>
  <si>
    <t>Total 2005</t>
  </si>
  <si>
    <t>% change on 2005</t>
  </si>
  <si>
    <t>% change on 2004</t>
  </si>
  <si>
    <t>TOTAL  2004</t>
  </si>
  <si>
    <t>TOTAL</t>
  </si>
  <si>
    <t>Cross Institution Programmes</t>
  </si>
  <si>
    <t>Table 35: Actual Student Load (EFTSL) for All Students by State, Higher Education Provider and Broad Level of Course, Full Year 2005</t>
  </si>
  <si>
    <t>Table 35.  Actual Student Load (EFTSU) for All Students by State, Institution and Broad Level of Course, 2004 (a)</t>
  </si>
  <si>
    <t>State/Institution</t>
  </si>
  <si>
    <t>Master's   by Coursework</t>
  </si>
  <si>
    <t>TOTAL EFTSU</t>
  </si>
  <si>
    <t>Royal Melbourne Institute of Technology</t>
  </si>
  <si>
    <t>Victoria University of Technology</t>
  </si>
  <si>
    <t>(a) Actual Student Load (EFTSU) reported in this table may vary from EFTSU reported in other Actual Student Load (EFTSU) tables due to rounding.</t>
  </si>
  <si>
    <t>Table 35.  Actual Student Load (EFTSU) for All Students by State, Institution and Broad Level of Course, 2003</t>
  </si>
  <si>
    <t>Table 37.  Actual Student Load (EFTSU) for All Students by State, Institution and Broad Level of Course, 2002 (a)</t>
  </si>
  <si>
    <t>Table 49.     Actual Student Load (EFTSU) for All Students by State, Institution and Broad Level of Course, 2001 (a)</t>
  </si>
  <si>
    <t xml:space="preserve">         </t>
  </si>
  <si>
    <t>James Cook University of North Queensland</t>
  </si>
  <si>
    <t>The following are incorporated into their home institution above</t>
  </si>
  <si>
    <t>Charles Darwin (fmly Northern Territory) University</t>
  </si>
  <si>
    <t>Updated 22/4/15dmc</t>
  </si>
  <si>
    <t>State/Institution (reformatted dmc 22/4/15)</t>
  </si>
  <si>
    <t>DEEWR2010Table4.1</t>
  </si>
  <si>
    <t>NZ EFT08-2011</t>
  </si>
  <si>
    <t>EFT2006-13(NZ)</t>
  </si>
  <si>
    <t>Tbl 9 1996</t>
  </si>
  <si>
    <t>Tbl 49 2001</t>
  </si>
  <si>
    <t>Tbl 37 2002</t>
  </si>
  <si>
    <t>Tbl 35 2003</t>
  </si>
  <si>
    <t>Tbl 35 2004</t>
  </si>
  <si>
    <t>Tbl 35 2005</t>
  </si>
  <si>
    <t>Tbl 35 2006</t>
  </si>
  <si>
    <t>Tbl 35 2007</t>
  </si>
  <si>
    <t>Tbl 35 2008</t>
  </si>
  <si>
    <t>Tbl 4.1 2009</t>
  </si>
  <si>
    <t>Table 4.1 2010</t>
  </si>
  <si>
    <t>Table 4.1 2011</t>
  </si>
  <si>
    <t>Table 4.1 2012</t>
  </si>
  <si>
    <t>&lt; Back to Index &gt;</t>
  </si>
  <si>
    <t>Higher degree - Research</t>
  </si>
  <si>
    <t>Higher degree - Coursework</t>
  </si>
  <si>
    <t>Other Post-graduate</t>
  </si>
  <si>
    <t>Other Under-graduate</t>
  </si>
  <si>
    <t>Enabling courses</t>
  </si>
  <si>
    <t>Non-award courses</t>
  </si>
  <si>
    <t>check</t>
  </si>
  <si>
    <t>Check</t>
  </si>
  <si>
    <t>Total 2001</t>
  </si>
  <si>
    <t>% change on 2001</t>
  </si>
  <si>
    <t>TOTAL 2002</t>
  </si>
  <si>
    <t>% Change on 2002</t>
  </si>
  <si>
    <t>TOTAL 2003</t>
  </si>
  <si>
    <t>% Change on 2003</t>
  </si>
  <si>
    <t>Sub-total Others</t>
  </si>
  <si>
    <t>% change on 2010</t>
  </si>
  <si>
    <t>% change on 2011</t>
  </si>
  <si>
    <t>Ave weight 1996-2013</t>
  </si>
  <si>
    <t>NZ EFT.35 2006-13</t>
  </si>
  <si>
    <t>&lt; Back to Contents &gt;</t>
  </si>
  <si>
    <t>Table 4.1: Actual Student Load (EFTSL) for All Students by State, Higher Education Institution and Broad Level of Course, Full Year 2013</t>
  </si>
  <si>
    <t>2013 EFTSL</t>
  </si>
  <si>
    <t>&lt; 5</t>
  </si>
  <si>
    <t>(a) Please refer to: 2013 List of Higher Education Institutions.</t>
  </si>
  <si>
    <t>(b) Previously University of Ballarat.</t>
  </si>
  <si>
    <t>(c) As a result of a collaborative partnership between Batchelor Institute of Indigenous Tertiary Education and Charles Darwin University which established</t>
  </si>
  <si>
    <t xml:space="preserve">The Australian Centre for Indigenous Knowledge and Education (ACIKE), the delivery of most undergraduate programs will be at Charles Darwin University from 2012. </t>
  </si>
  <si>
    <t>Total fte Check!</t>
  </si>
  <si>
    <r>
      <t>State/Institution</t>
    </r>
    <r>
      <rPr>
        <b/>
        <vertAlign val="superscript"/>
        <sz val="8"/>
        <rFont val="Arial"/>
        <family val="2"/>
      </rPr>
      <t>(a)</t>
    </r>
  </si>
  <si>
    <r>
      <t>Charles Darwin University</t>
    </r>
    <r>
      <rPr>
        <b/>
        <vertAlign val="superscript"/>
        <sz val="8"/>
        <rFont val="Arial"/>
        <family val="2"/>
      </rPr>
      <t>(c)</t>
    </r>
  </si>
  <si>
    <t>checksum!</t>
  </si>
  <si>
    <t>diff</t>
  </si>
  <si>
    <r>
      <t>University of Ballarat (Federation University Australia</t>
    </r>
    <r>
      <rPr>
        <b/>
        <vertAlign val="superscript"/>
        <sz val="8"/>
        <color indexed="8"/>
        <rFont val="Arial"/>
        <family val="2"/>
      </rPr>
      <t>(b)</t>
    </r>
  </si>
  <si>
    <t>Table 4.1: Actual Student Load (EFTSL) for All Students by State, Higher Education Institution and Broad Level of Course, Full Year 2016</t>
  </si>
  <si>
    <t>University of Technology Sydney</t>
  </si>
  <si>
    <t>Western Sydney University</t>
  </si>
  <si>
    <t>CQUniversity</t>
  </si>
  <si>
    <t>Flinders University</t>
  </si>
  <si>
    <t>Total 2015</t>
  </si>
  <si>
    <t>% change on 2015</t>
  </si>
  <si>
    <t>(a) Previously University of Ballarat.</t>
  </si>
  <si>
    <t>(b) As a result of a collaborative partnership between Batchelor Institute of Indigenous Tertiary Education and Charles Darwin University which established</t>
  </si>
  <si>
    <r>
      <t>Federation University Australia</t>
    </r>
    <r>
      <rPr>
        <vertAlign val="superscript"/>
        <sz val="8"/>
        <color indexed="8"/>
        <rFont val="Arial"/>
        <family val="2"/>
      </rPr>
      <t>(a)</t>
    </r>
  </si>
  <si>
    <r>
      <t>Charles Darwin University</t>
    </r>
    <r>
      <rPr>
        <vertAlign val="superscript"/>
        <sz val="8"/>
        <rFont val="Arial"/>
        <family val="2"/>
      </rPr>
      <t>(b)</t>
    </r>
  </si>
  <si>
    <t>TOTAL CAUL EFTSL</t>
  </si>
  <si>
    <t>TOTAL CONZUL EFTSL</t>
  </si>
  <si>
    <t>Table 4.1 2013</t>
  </si>
  <si>
    <t>Table 4.1 2016</t>
  </si>
  <si>
    <t>Table 4.1: Actual Student Load (EFTSL) for All Students by State, Higher Education Institution and Broad Level of Course, Full Year 2017</t>
  </si>
  <si>
    <t>Curtin University</t>
  </si>
  <si>
    <t>Tier          (7 Tiers)</t>
  </si>
  <si>
    <t>Tier          (5 Tiers)</t>
  </si>
  <si>
    <t>2018 weighting</t>
  </si>
  <si>
    <t>Total 2017</t>
  </si>
  <si>
    <t>% change on 2017</t>
  </si>
  <si>
    <t>Table 4.1: Actual Student Load (EFTSL) for All Students by State, Higher Education Institution and Broad Level of Course, Full Year 2018</t>
  </si>
  <si>
    <t>Table 4.1 2017</t>
  </si>
  <si>
    <t>Table 4.1 2018</t>
  </si>
  <si>
    <t>Table 4.1: Actual Student Load (EFTSL) for All Students by State, Higher Education Institution and Broad Level of Course, Full Year 2019</t>
  </si>
  <si>
    <t>Total 2018</t>
  </si>
  <si>
    <t>% change on 2018</t>
  </si>
  <si>
    <t>Table 4.1 2019</t>
  </si>
  <si>
    <t>2019 weighting</t>
  </si>
  <si>
    <t>Average Weighting 2018-2019</t>
  </si>
  <si>
    <t>Ave weight 2018-2019</t>
  </si>
  <si>
    <t>Table 4.1: Actual Student Load (EFTSL) for All Students by State, Higher Education Institution and Broad Level of Course, Full Year 2020</t>
  </si>
  <si>
    <t>Table 4.1 2020</t>
  </si>
  <si>
    <t>Ave weight 2019-2020</t>
  </si>
  <si>
    <t>Total 2019</t>
  </si>
  <si>
    <t>% change on 2019</t>
  </si>
  <si>
    <t>TOTAL CAUL FTE</t>
  </si>
  <si>
    <r>
      <t>Charles Darwin University</t>
    </r>
    <r>
      <rPr>
        <vertAlign val="superscript"/>
        <sz val="8"/>
        <color indexed="8"/>
        <rFont val="Arial"/>
        <family val="2"/>
      </rPr>
      <t>(b)</t>
    </r>
  </si>
  <si>
    <t>P/G by coursework</t>
  </si>
  <si>
    <t>2020 weighting</t>
  </si>
  <si>
    <t>Average Weighting 2019-2020</t>
  </si>
  <si>
    <t>Federation University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</si>
</sst>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0.0%"/>
    <numFmt numFmtId="166" formatCode="#,##0.0%"/>
    <numFmt numFmtId="167" formatCode="_-* #,##0_-;\-* #,##0_-;_-* &quot;-&quot;??_-;_-@_-"/>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sz val="10"/>
      <name val="Arial"/>
      <family val="2"/>
    </font>
    <font>
      <u/>
      <sz val="10"/>
      <color indexed="12"/>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1"/>
      <color indexed="8"/>
      <name val="Arial"/>
      <family val="2"/>
    </font>
    <font>
      <sz val="10"/>
      <name val="Monotype Sans WT"/>
    </font>
    <font>
      <sz val="8"/>
      <name val="Arial"/>
      <family val="2"/>
    </font>
    <font>
      <sz val="10"/>
      <color indexed="8"/>
      <name val="Arial"/>
      <family val="2"/>
    </font>
    <font>
      <b/>
      <sz val="11"/>
      <color indexed="8"/>
      <name val="Arial"/>
      <family val="2"/>
    </font>
    <font>
      <b/>
      <sz val="10"/>
      <color indexed="8"/>
      <name val="Arial"/>
      <family val="2"/>
    </font>
    <font>
      <sz val="10"/>
      <name val="MS Sans Serif"/>
      <family val="2"/>
    </font>
    <font>
      <b/>
      <sz val="11"/>
      <name val="Arial"/>
      <family val="2"/>
    </font>
    <font>
      <sz val="8"/>
      <name val="Times New Roman"/>
      <family val="1"/>
    </font>
    <font>
      <b/>
      <sz val="8"/>
      <name val="Times New Roman"/>
      <family val="1"/>
    </font>
    <font>
      <sz val="8"/>
      <color indexed="10"/>
      <name val="Times New Roman"/>
      <family val="1"/>
    </font>
    <font>
      <b/>
      <sz val="8"/>
      <color indexed="10"/>
      <name val="Times New Roman"/>
      <family val="1"/>
    </font>
    <font>
      <sz val="10"/>
      <name val="MS Sans Serif"/>
    </font>
    <font>
      <i/>
      <sz val="8"/>
      <name val="Times New Roman"/>
      <family val="1"/>
    </font>
    <font>
      <b/>
      <sz val="8"/>
      <color indexed="8"/>
      <name val="Times New Roman"/>
      <family val="1"/>
    </font>
    <font>
      <sz val="8"/>
      <color indexed="8"/>
      <name val="Times New Roman"/>
      <family val="1"/>
    </font>
    <font>
      <u/>
      <sz val="8"/>
      <color indexed="12"/>
      <name val="Times New Roman"/>
      <family val="1"/>
    </font>
    <font>
      <b/>
      <sz val="8"/>
      <color indexed="53"/>
      <name val="Times New Roman"/>
      <family val="1"/>
    </font>
    <font>
      <b/>
      <sz val="8"/>
      <color indexed="20"/>
      <name val="Times New Roman"/>
      <family val="1"/>
    </font>
    <font>
      <b/>
      <sz val="8"/>
      <color indexed="18"/>
      <name val="Times New Roman"/>
      <family val="1"/>
    </font>
    <font>
      <b/>
      <sz val="8"/>
      <color indexed="61"/>
      <name val="Times New Roman"/>
      <family val="1"/>
    </font>
    <font>
      <u/>
      <sz val="8"/>
      <color indexed="12"/>
      <name val="Arial"/>
      <family val="2"/>
    </font>
    <font>
      <b/>
      <sz val="8"/>
      <name val="Arial"/>
      <family val="2"/>
    </font>
    <font>
      <b/>
      <vertAlign val="superscript"/>
      <sz val="8"/>
      <name val="Arial"/>
      <family val="2"/>
    </font>
    <font>
      <b/>
      <vertAlign val="superscript"/>
      <sz val="8"/>
      <color indexed="8"/>
      <name val="Arial"/>
      <family val="2"/>
    </font>
    <font>
      <sz val="11"/>
      <color theme="1"/>
      <name val="Calibri"/>
      <family val="2"/>
      <scheme val="minor"/>
    </font>
    <font>
      <sz val="8"/>
      <color theme="3" tint="0.39997558519241921"/>
      <name val="Times New Roman"/>
      <family val="1"/>
    </font>
    <font>
      <b/>
      <sz val="8"/>
      <color theme="3" tint="0.39997558519241921"/>
      <name val="Times New Roman"/>
      <family val="1"/>
    </font>
    <font>
      <sz val="8"/>
      <color rgb="FF00B050"/>
      <name val="Times New Roman"/>
      <family val="1"/>
    </font>
    <font>
      <b/>
      <sz val="8"/>
      <color rgb="FF00B050"/>
      <name val="Times New Roman"/>
      <family val="1"/>
    </font>
    <font>
      <sz val="8"/>
      <color rgb="FFFF0000"/>
      <name val="Times New Roman"/>
      <family val="1"/>
    </font>
    <font>
      <sz val="8"/>
      <color rgb="FF0070C0"/>
      <name val="Times New Roman"/>
      <family val="1"/>
    </font>
    <font>
      <sz val="8"/>
      <color theme="1"/>
      <name val="Times New Roman"/>
      <family val="1"/>
    </font>
    <font>
      <b/>
      <sz val="8"/>
      <color rgb="FFFF0000"/>
      <name val="Times New Roman"/>
      <family val="1"/>
    </font>
    <font>
      <b/>
      <sz val="8"/>
      <color theme="1"/>
      <name val="Times New Roman"/>
      <family val="1"/>
    </font>
    <font>
      <b/>
      <sz val="8"/>
      <color theme="1"/>
      <name val="Arial"/>
      <family val="2"/>
    </font>
    <font>
      <sz val="8"/>
      <color theme="1"/>
      <name val="Arial"/>
      <family val="2"/>
    </font>
    <font>
      <u/>
      <sz val="11"/>
      <color theme="10"/>
      <name val="Calibri"/>
      <family val="2"/>
      <scheme val="minor"/>
    </font>
    <font>
      <vertAlign val="superscript"/>
      <sz val="8"/>
      <color indexed="8"/>
      <name val="Arial"/>
      <family val="2"/>
    </font>
    <font>
      <vertAlign val="superscript"/>
      <sz val="8"/>
      <name val="Arial"/>
      <family val="2"/>
    </font>
    <font>
      <sz val="8"/>
      <color rgb="FFFF0000"/>
      <name val="Arial"/>
      <family val="2"/>
    </font>
    <font>
      <b/>
      <sz val="8"/>
      <color rgb="FFFF0000"/>
      <name val="Arial"/>
      <family val="2"/>
    </font>
    <font>
      <sz val="10"/>
      <color theme="1"/>
      <name val="Calibri"/>
      <family val="2"/>
      <scheme val="minor"/>
    </font>
    <font>
      <b/>
      <sz val="10"/>
      <color theme="1"/>
      <name val="Calibri"/>
      <family val="2"/>
      <scheme val="minor"/>
    </font>
    <font>
      <sz val="10"/>
      <color rgb="FF000000"/>
      <name val="Arial"/>
      <family val="2"/>
    </font>
    <font>
      <b/>
      <sz val="10"/>
      <color rgb="FF000000"/>
      <name val="Arial"/>
      <family val="2"/>
    </font>
  </fonts>
  <fills count="16">
    <fill>
      <patternFill patternType="none"/>
    </fill>
    <fill>
      <patternFill patternType="gray125"/>
    </fill>
    <fill>
      <patternFill patternType="solid">
        <fgColor indexed="50"/>
        <bgColor indexed="64"/>
      </patternFill>
    </fill>
    <fill>
      <patternFill patternType="solid">
        <fgColor indexed="41"/>
        <bgColor indexed="64"/>
      </patternFill>
    </fill>
    <fill>
      <patternFill patternType="solid">
        <fgColor indexed="4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n">
        <color indexed="8"/>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8"/>
      </top>
      <bottom/>
      <diagonal/>
    </border>
  </borders>
  <cellStyleXfs count="66">
    <xf numFmtId="0" fontId="0"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1" fillId="0" borderId="0"/>
    <xf numFmtId="0" fontId="27" fillId="0" borderId="0"/>
    <xf numFmtId="0" fontId="4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1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21"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9" fontId="5" fillId="0" borderId="0" applyFont="0" applyFill="0" applyBorder="0" applyAlignment="0" applyProtection="0"/>
    <xf numFmtId="9" fontId="40" fillId="0" borderId="0" applyFont="0" applyFill="0" applyBorder="0" applyAlignment="0" applyProtection="0"/>
    <xf numFmtId="9" fontId="21" fillId="0" borderId="0" applyFont="0" applyFill="0" applyBorder="0" applyAlignment="0" applyProtection="0"/>
    <xf numFmtId="9" fontId="27" fillId="0" borderId="0" applyFont="0" applyFill="0" applyBorder="0" applyAlignment="0" applyProtection="0"/>
    <xf numFmtId="0" fontId="4" fillId="0" borderId="0"/>
    <xf numFmtId="164" fontId="4" fillId="0" borderId="0" applyFont="0" applyFill="0" applyBorder="0" applyAlignment="0" applyProtection="0"/>
    <xf numFmtId="0" fontId="52" fillId="0" borderId="0" applyNumberFormat="0" applyFill="0" applyBorder="0" applyAlignment="0" applyProtection="0"/>
    <xf numFmtId="0" fontId="3"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 fillId="0" borderId="0"/>
  </cellStyleXfs>
  <cellXfs count="743">
    <xf numFmtId="0" fontId="0" fillId="0" borderId="0" xfId="0"/>
    <xf numFmtId="0" fontId="8" fillId="0" borderId="0" xfId="0" applyFont="1" applyBorder="1" applyAlignment="1"/>
    <xf numFmtId="0" fontId="0" fillId="0" borderId="0" xfId="0" applyBorder="1" applyAlignment="1"/>
    <xf numFmtId="0" fontId="0" fillId="0" borderId="0" xfId="0" applyAlignment="1"/>
    <xf numFmtId="0" fontId="8" fillId="0" borderId="0" xfId="0" applyFont="1" applyBorder="1" applyAlignment="1">
      <alignment wrapText="1"/>
    </xf>
    <xf numFmtId="0" fontId="8" fillId="2" borderId="0" xfId="0" applyFont="1" applyFill="1" applyBorder="1" applyAlignment="1">
      <alignment vertical="top"/>
    </xf>
    <xf numFmtId="0" fontId="8" fillId="2" borderId="0" xfId="0" applyFont="1" applyFill="1" applyBorder="1" applyAlignment="1">
      <alignment horizontal="center" vertical="top" wrapText="1"/>
    </xf>
    <xf numFmtId="3" fontId="8" fillId="2" borderId="0" xfId="0" applyNumberFormat="1" applyFont="1" applyFill="1" applyBorder="1" applyAlignment="1">
      <alignment vertical="top" wrapText="1"/>
    </xf>
    <xf numFmtId="0" fontId="8" fillId="2" borderId="0" xfId="0" applyFont="1" applyFill="1" applyBorder="1" applyAlignment="1">
      <alignment vertical="top" wrapText="1"/>
    </xf>
    <xf numFmtId="165" fontId="0" fillId="0" borderId="0" xfId="0" applyNumberFormat="1" applyBorder="1"/>
    <xf numFmtId="0" fontId="8" fillId="0" borderId="1" xfId="0" applyFont="1" applyBorder="1" applyAlignment="1">
      <alignment horizontal="left" vertical="top"/>
    </xf>
    <xf numFmtId="0" fontId="8" fillId="0" borderId="2" xfId="0" applyFont="1" applyBorder="1" applyAlignment="1">
      <alignment horizontal="center" wrapText="1"/>
    </xf>
    <xf numFmtId="0" fontId="8" fillId="0" borderId="0" xfId="0" applyFont="1" applyBorder="1" applyAlignment="1">
      <alignment horizontal="left" vertical="top"/>
    </xf>
    <xf numFmtId="0" fontId="8" fillId="0" borderId="2" xfId="0" applyFont="1" applyBorder="1" applyAlignment="1">
      <alignment horizontal="left"/>
    </xf>
    <xf numFmtId="0" fontId="11" fillId="0" borderId="0" xfId="13" applyFont="1"/>
    <xf numFmtId="0" fontId="12" fillId="0" borderId="0" xfId="13" applyFont="1"/>
    <xf numFmtId="3" fontId="12" fillId="0" borderId="0" xfId="13" applyNumberFormat="1" applyFont="1"/>
    <xf numFmtId="3" fontId="12" fillId="0" borderId="1" xfId="13" applyNumberFormat="1" applyFont="1" applyBorder="1"/>
    <xf numFmtId="0" fontId="12" fillId="0" borderId="1" xfId="13" applyFont="1" applyBorder="1"/>
    <xf numFmtId="3" fontId="11" fillId="0" borderId="3" xfId="13" applyNumberFormat="1" applyFont="1" applyBorder="1"/>
    <xf numFmtId="0" fontId="11" fillId="0" borderId="3" xfId="13" applyFont="1" applyBorder="1"/>
    <xf numFmtId="3" fontId="11" fillId="0" borderId="0" xfId="13" applyNumberFormat="1" applyFont="1"/>
    <xf numFmtId="3" fontId="11" fillId="0" borderId="0" xfId="13" applyNumberFormat="1" applyFont="1" applyFill="1"/>
    <xf numFmtId="0" fontId="11" fillId="0" borderId="0" xfId="13" applyFont="1" applyFill="1"/>
    <xf numFmtId="3" fontId="12" fillId="0" borderId="0" xfId="13" applyNumberFormat="1" applyFont="1" applyFill="1"/>
    <xf numFmtId="0" fontId="12" fillId="0" borderId="0" xfId="13" applyFont="1" applyFill="1"/>
    <xf numFmtId="0" fontId="0" fillId="0" borderId="0" xfId="0" applyAlignment="1">
      <alignment horizontal="left"/>
    </xf>
    <xf numFmtId="0" fontId="7" fillId="0" borderId="0" xfId="9" applyAlignment="1" applyProtection="1"/>
    <xf numFmtId="0" fontId="5" fillId="0" borderId="2" xfId="0" applyFont="1" applyBorder="1" applyAlignment="1">
      <alignment horizontal="center" wrapText="1"/>
    </xf>
    <xf numFmtId="0" fontId="5" fillId="0" borderId="0" xfId="0" applyFont="1" applyBorder="1" applyAlignment="1"/>
    <xf numFmtId="0" fontId="5" fillId="0" borderId="0" xfId="0" applyFont="1" applyBorder="1" applyAlignment="1">
      <alignment horizontal="left" vertical="top"/>
    </xf>
    <xf numFmtId="0" fontId="5" fillId="0" borderId="0" xfId="0" applyFont="1" applyBorder="1" applyAlignment="1">
      <alignment horizontal="left"/>
    </xf>
    <xf numFmtId="0" fontId="5" fillId="0" borderId="0" xfId="0" applyFont="1" applyAlignment="1">
      <alignment horizontal="left"/>
    </xf>
    <xf numFmtId="0" fontId="11" fillId="0" borderId="0" xfId="13" applyFont="1" applyFill="1" applyAlignment="1">
      <alignment horizontal="right"/>
    </xf>
    <xf numFmtId="3" fontId="12" fillId="0" borderId="0" xfId="13" applyNumberFormat="1" applyFont="1" applyFill="1" applyAlignment="1">
      <alignment horizontal="right"/>
    </xf>
    <xf numFmtId="3" fontId="11" fillId="0" borderId="0" xfId="13" applyNumberFormat="1" applyFont="1" applyFill="1" applyAlignment="1">
      <alignment horizontal="right"/>
    </xf>
    <xf numFmtId="0" fontId="12" fillId="0" borderId="0" xfId="13" applyFont="1" applyFill="1" applyAlignment="1">
      <alignment horizontal="right"/>
    </xf>
    <xf numFmtId="3" fontId="0" fillId="0" borderId="0" xfId="0" applyNumberFormat="1" applyBorder="1" applyAlignment="1"/>
    <xf numFmtId="0" fontId="18" fillId="0" borderId="0" xfId="0" applyFont="1"/>
    <xf numFmtId="0" fontId="19" fillId="0" borderId="0" xfId="0" applyFont="1"/>
    <xf numFmtId="0" fontId="18" fillId="0" borderId="4" xfId="0" applyFont="1" applyBorder="1"/>
    <xf numFmtId="0" fontId="20" fillId="0" borderId="1" xfId="0" applyFont="1" applyBorder="1"/>
    <xf numFmtId="0" fontId="20" fillId="0" borderId="5" xfId="0" applyFont="1" applyBorder="1"/>
    <xf numFmtId="0" fontId="20" fillId="0" borderId="6" xfId="0" applyFont="1" applyBorder="1" applyAlignment="1">
      <alignment horizontal="right" indent="1"/>
    </xf>
    <xf numFmtId="0" fontId="20" fillId="0" borderId="1" xfId="0" applyFont="1" applyBorder="1" applyAlignment="1">
      <alignment horizontal="right" indent="1"/>
    </xf>
    <xf numFmtId="0" fontId="20" fillId="0" borderId="5" xfId="0" applyFont="1" applyBorder="1" applyAlignment="1">
      <alignment horizontal="right" indent="1"/>
    </xf>
    <xf numFmtId="0" fontId="20" fillId="0" borderId="0" xfId="0" applyFont="1"/>
    <xf numFmtId="3" fontId="18" fillId="0" borderId="7" xfId="0" applyNumberFormat="1" applyFont="1" applyBorder="1" applyAlignment="1">
      <alignment horizontal="right" indent="1"/>
    </xf>
    <xf numFmtId="3" fontId="18" fillId="0" borderId="0" xfId="0" applyNumberFormat="1" applyFont="1" applyBorder="1" applyAlignment="1">
      <alignment horizontal="right" indent="1"/>
    </xf>
    <xf numFmtId="3" fontId="18" fillId="0" borderId="4" xfId="0" applyNumberFormat="1" applyFont="1" applyBorder="1" applyAlignment="1">
      <alignment horizontal="right" indent="1"/>
    </xf>
    <xf numFmtId="3" fontId="18" fillId="0" borderId="0" xfId="0" applyNumberFormat="1" applyFont="1" applyAlignment="1">
      <alignment horizontal="right" indent="1"/>
    </xf>
    <xf numFmtId="3" fontId="18" fillId="0" borderId="0" xfId="0" applyNumberFormat="1" applyFont="1"/>
    <xf numFmtId="3" fontId="18" fillId="0" borderId="8" xfId="0" applyNumberFormat="1" applyFont="1" applyBorder="1" applyAlignment="1">
      <alignment horizontal="right" indent="1"/>
    </xf>
    <xf numFmtId="3" fontId="20" fillId="0" borderId="6" xfId="0" applyNumberFormat="1" applyFont="1" applyBorder="1" applyAlignment="1">
      <alignment horizontal="right" indent="1"/>
    </xf>
    <xf numFmtId="3" fontId="20" fillId="0" borderId="1" xfId="0" applyNumberFormat="1" applyFont="1" applyBorder="1" applyAlignment="1">
      <alignment horizontal="right" indent="1"/>
    </xf>
    <xf numFmtId="3" fontId="20" fillId="0" borderId="5" xfId="0" applyNumberFormat="1" applyFont="1" applyBorder="1" applyAlignment="1">
      <alignment horizontal="right" indent="1"/>
    </xf>
    <xf numFmtId="0" fontId="20" fillId="0" borderId="0" xfId="0" applyFont="1" applyBorder="1"/>
    <xf numFmtId="0" fontId="18" fillId="0" borderId="0" xfId="0" applyFont="1" applyBorder="1"/>
    <xf numFmtId="0" fontId="5" fillId="0" borderId="0" xfId="39" applyFont="1" applyFill="1" applyBorder="1" applyAlignment="1">
      <alignment horizontal="left"/>
    </xf>
    <xf numFmtId="3" fontId="18" fillId="0" borderId="9" xfId="0" applyNumberFormat="1" applyFont="1" applyBorder="1" applyAlignment="1">
      <alignment horizontal="right" indent="1"/>
    </xf>
    <xf numFmtId="3" fontId="18" fillId="0" borderId="4" xfId="0" applyNumberFormat="1" applyFont="1" applyFill="1" applyBorder="1" applyAlignment="1">
      <alignment horizontal="right" indent="1"/>
    </xf>
    <xf numFmtId="3" fontId="18" fillId="0" borderId="0" xfId="0" applyNumberFormat="1" applyFont="1" applyFill="1" applyBorder="1" applyAlignment="1">
      <alignment horizontal="right" indent="1"/>
    </xf>
    <xf numFmtId="3" fontId="20" fillId="0" borderId="5" xfId="0" applyNumberFormat="1" applyFont="1" applyFill="1" applyBorder="1" applyAlignment="1">
      <alignment horizontal="right" indent="1"/>
    </xf>
    <xf numFmtId="3" fontId="20" fillId="0" borderId="1" xfId="0" applyNumberFormat="1" applyFont="1" applyFill="1" applyBorder="1" applyAlignment="1">
      <alignment horizontal="right" indent="1"/>
    </xf>
    <xf numFmtId="3" fontId="5" fillId="0" borderId="0" xfId="24" applyNumberFormat="1" applyBorder="1" applyAlignment="1"/>
    <xf numFmtId="0" fontId="22" fillId="0" borderId="0" xfId="11" applyFont="1" applyAlignment="1"/>
    <xf numFmtId="0" fontId="5" fillId="0" borderId="0" xfId="21" applyFont="1" applyAlignment="1"/>
    <xf numFmtId="0" fontId="5" fillId="0" borderId="0" xfId="21" applyFont="1" applyAlignment="1">
      <alignment horizontal="left"/>
    </xf>
    <xf numFmtId="0" fontId="5" fillId="0" borderId="3" xfId="40" applyFont="1" applyBorder="1" applyAlignment="1">
      <alignment horizontal="left" vertical="top"/>
    </xf>
    <xf numFmtId="0" fontId="5" fillId="0" borderId="3" xfId="40" applyFont="1" applyBorder="1" applyAlignment="1">
      <alignment horizontal="left" vertical="top" wrapText="1"/>
    </xf>
    <xf numFmtId="0" fontId="5" fillId="0" borderId="3" xfId="40" applyFont="1" applyBorder="1" applyAlignment="1">
      <alignment horizontal="right" vertical="top" wrapText="1"/>
    </xf>
    <xf numFmtId="0" fontId="5" fillId="3" borderId="0" xfId="11" applyFont="1" applyFill="1" applyBorder="1" applyAlignment="1">
      <alignment horizontal="center" vertical="top" wrapText="1"/>
    </xf>
    <xf numFmtId="0" fontId="5" fillId="0" borderId="0" xfId="21" applyFont="1" applyAlignment="1">
      <alignment vertical="top"/>
    </xf>
    <xf numFmtId="0" fontId="5" fillId="0" borderId="1" xfId="40" applyFont="1" applyBorder="1" applyAlignment="1">
      <alignment horizontal="left" vertical="center"/>
    </xf>
    <xf numFmtId="0" fontId="5" fillId="0" borderId="1" xfId="40" applyFont="1" applyBorder="1" applyAlignment="1">
      <alignment horizontal="left" vertical="center" wrapText="1"/>
    </xf>
    <xf numFmtId="0" fontId="5" fillId="0" borderId="1" xfId="40" applyFont="1" applyBorder="1" applyAlignment="1">
      <alignment horizontal="right" vertical="center" wrapText="1"/>
    </xf>
    <xf numFmtId="0" fontId="5" fillId="0" borderId="3" xfId="21" applyFont="1" applyBorder="1" applyAlignment="1">
      <alignment vertical="top" wrapText="1"/>
    </xf>
    <xf numFmtId="0" fontId="5" fillId="0" borderId="3" xfId="21" applyFont="1" applyBorder="1" applyAlignment="1">
      <alignment vertical="top" shrinkToFit="1"/>
    </xf>
    <xf numFmtId="3" fontId="5" fillId="0" borderId="0" xfId="21" applyNumberFormat="1" applyFont="1" applyAlignment="1">
      <alignment horizontal="right"/>
    </xf>
    <xf numFmtId="0" fontId="5" fillId="0" borderId="0" xfId="21" applyFont="1" applyBorder="1" applyAlignment="1">
      <alignment vertical="top" wrapText="1"/>
    </xf>
    <xf numFmtId="0" fontId="5" fillId="0" borderId="0" xfId="21" applyFont="1" applyAlignment="1">
      <alignment vertical="top" wrapText="1"/>
    </xf>
    <xf numFmtId="0" fontId="5" fillId="0" borderId="0" xfId="21" applyFont="1" applyBorder="1" applyAlignment="1">
      <alignment vertical="top" shrinkToFit="1"/>
    </xf>
    <xf numFmtId="0" fontId="5" fillId="0" borderId="1" xfId="21" applyFont="1" applyBorder="1" applyAlignment="1">
      <alignment horizontal="left"/>
    </xf>
    <xf numFmtId="3" fontId="5" fillId="0" borderId="1" xfId="21" applyNumberFormat="1" applyFont="1" applyBorder="1" applyAlignment="1">
      <alignment horizontal="right"/>
    </xf>
    <xf numFmtId="3" fontId="5" fillId="0" borderId="0" xfId="21" applyNumberFormat="1" applyFont="1" applyAlignment="1"/>
    <xf numFmtId="0" fontId="5" fillId="0" borderId="3" xfId="21" applyFont="1" applyBorder="1" applyAlignment="1">
      <alignment horizontal="left"/>
    </xf>
    <xf numFmtId="3" fontId="5" fillId="0" borderId="3" xfId="21" applyNumberFormat="1" applyFont="1" applyBorder="1" applyAlignment="1">
      <alignment horizontal="right"/>
    </xf>
    <xf numFmtId="0" fontId="5" fillId="0" borderId="0" xfId="21" applyFont="1" applyBorder="1" applyAlignment="1">
      <alignment horizontal="left"/>
    </xf>
    <xf numFmtId="3" fontId="5" fillId="0" borderId="0" xfId="21" applyNumberFormat="1" applyFont="1" applyBorder="1" applyAlignment="1">
      <alignment horizontal="right"/>
    </xf>
    <xf numFmtId="0" fontId="5" fillId="0" borderId="1" xfId="21" applyFont="1" applyBorder="1" applyAlignment="1">
      <alignment vertical="top" wrapText="1"/>
    </xf>
    <xf numFmtId="0" fontId="5" fillId="5" borderId="0" xfId="21" applyFont="1" applyFill="1" applyBorder="1" applyAlignment="1">
      <alignment vertical="top" wrapText="1"/>
    </xf>
    <xf numFmtId="0" fontId="5" fillId="0" borderId="1" xfId="21" applyFont="1" applyBorder="1" applyAlignment="1">
      <alignment vertical="top" shrinkToFit="1"/>
    </xf>
    <xf numFmtId="0" fontId="5" fillId="0" borderId="0" xfId="39" applyFont="1" applyBorder="1" applyAlignment="1"/>
    <xf numFmtId="0" fontId="5" fillId="0" borderId="0" xfId="39" applyFont="1" applyBorder="1" applyAlignment="1">
      <alignment horizontal="left"/>
    </xf>
    <xf numFmtId="0" fontId="5" fillId="5" borderId="0" xfId="21" applyFont="1" applyFill="1" applyBorder="1" applyAlignment="1">
      <alignment vertical="top" shrinkToFit="1"/>
    </xf>
    <xf numFmtId="0" fontId="5" fillId="5" borderId="0" xfId="21" applyFont="1" applyFill="1" applyAlignment="1">
      <alignment horizontal="left"/>
    </xf>
    <xf numFmtId="3" fontId="5" fillId="5" borderId="0" xfId="21" applyNumberFormat="1" applyFont="1" applyFill="1" applyAlignment="1">
      <alignment horizontal="right"/>
    </xf>
    <xf numFmtId="3" fontId="5" fillId="5" borderId="0" xfId="21" applyNumberFormat="1" applyFont="1" applyFill="1" applyAlignment="1"/>
    <xf numFmtId="3" fontId="5" fillId="5" borderId="0" xfId="24" applyNumberFormat="1" applyFill="1" applyBorder="1" applyAlignment="1"/>
    <xf numFmtId="0" fontId="5" fillId="5" borderId="0" xfId="21" applyFont="1" applyFill="1" applyAlignment="1"/>
    <xf numFmtId="0" fontId="5" fillId="5" borderId="0" xfId="21" applyFont="1" applyFill="1" applyBorder="1" applyAlignment="1">
      <alignment horizontal="left"/>
    </xf>
    <xf numFmtId="3" fontId="5" fillId="5" borderId="0" xfId="21" applyNumberFormat="1" applyFont="1" applyFill="1" applyBorder="1" applyAlignment="1">
      <alignment horizontal="right"/>
    </xf>
    <xf numFmtId="0" fontId="22" fillId="0" borderId="0" xfId="33" applyFont="1"/>
    <xf numFmtId="0" fontId="8" fillId="0" borderId="0" xfId="39" applyFont="1"/>
    <xf numFmtId="0" fontId="5" fillId="0" borderId="0" xfId="41" applyFont="1" applyBorder="1"/>
    <xf numFmtId="0" fontId="5" fillId="0" borderId="0" xfId="40" applyFont="1" applyBorder="1"/>
    <xf numFmtId="0" fontId="5" fillId="0" borderId="2" xfId="39" applyFont="1" applyBorder="1" applyAlignment="1">
      <alignment horizontal="center" vertical="center" wrapText="1"/>
    </xf>
    <xf numFmtId="0" fontId="5" fillId="0" borderId="0" xfId="40" applyFont="1" applyBorder="1" applyAlignment="1">
      <alignment horizontal="left"/>
    </xf>
    <xf numFmtId="3" fontId="5" fillId="0" borderId="8" xfId="40" applyNumberFormat="1" applyFont="1" applyBorder="1" applyAlignment="1">
      <alignment horizontal="right" indent="1"/>
    </xf>
    <xf numFmtId="3" fontId="5" fillId="0" borderId="0" xfId="40" applyNumberFormat="1" applyFont="1" applyBorder="1" applyAlignment="1">
      <alignment horizontal="right" indent="1"/>
    </xf>
    <xf numFmtId="0" fontId="5" fillId="0" borderId="0" xfId="33" applyFont="1" applyBorder="1" applyAlignment="1">
      <alignment horizontal="left" vertical="top" wrapText="1"/>
    </xf>
    <xf numFmtId="0" fontId="5" fillId="0" borderId="5" xfId="40" applyFont="1" applyBorder="1" applyAlignment="1">
      <alignment horizontal="left"/>
    </xf>
    <xf numFmtId="3" fontId="5" fillId="0" borderId="6" xfId="40" applyNumberFormat="1" applyFont="1" applyBorder="1" applyAlignment="1">
      <alignment horizontal="right" indent="1"/>
    </xf>
    <xf numFmtId="3" fontId="5" fillId="0" borderId="1" xfId="40" applyNumberFormat="1" applyFont="1" applyBorder="1" applyAlignment="1">
      <alignment horizontal="right" indent="1"/>
    </xf>
    <xf numFmtId="3" fontId="5" fillId="0" borderId="0" xfId="40" applyNumberFormat="1" applyFont="1" applyBorder="1"/>
    <xf numFmtId="0" fontId="5" fillId="0" borderId="1" xfId="40" applyFont="1" applyBorder="1" applyAlignment="1">
      <alignment horizontal="left"/>
    </xf>
    <xf numFmtId="0" fontId="5" fillId="0" borderId="0" xfId="40" applyFont="1" applyBorder="1" applyAlignment="1">
      <alignment horizontal="left" vertical="top"/>
    </xf>
    <xf numFmtId="0" fontId="5" fillId="0" borderId="0" xfId="39" applyFont="1" applyBorder="1"/>
    <xf numFmtId="3" fontId="5" fillId="0" borderId="0" xfId="40" applyNumberFormat="1" applyFont="1"/>
    <xf numFmtId="0" fontId="5" fillId="0" borderId="0" xfId="40" applyFont="1"/>
    <xf numFmtId="166" fontId="5" fillId="0" borderId="0" xfId="44" applyNumberFormat="1" applyFont="1" applyBorder="1"/>
    <xf numFmtId="0" fontId="5" fillId="0" borderId="0" xfId="39" applyFont="1" applyFill="1" applyBorder="1"/>
    <xf numFmtId="0" fontId="5" fillId="0" borderId="0" xfId="40" applyFont="1" applyFill="1" applyBorder="1"/>
    <xf numFmtId="0" fontId="5" fillId="5" borderId="10" xfId="21" applyFont="1" applyFill="1" applyBorder="1" applyAlignment="1">
      <alignment vertical="top" wrapText="1"/>
    </xf>
    <xf numFmtId="0" fontId="5" fillId="0" borderId="10" xfId="21" applyFont="1" applyBorder="1" applyAlignment="1">
      <alignment vertical="top" wrapText="1"/>
    </xf>
    <xf numFmtId="0" fontId="5" fillId="0" borderId="0" xfId="21" applyFont="1" applyFill="1" applyAlignment="1"/>
    <xf numFmtId="0" fontId="5" fillId="0" borderId="0" xfId="21" applyFont="1" applyFill="1" applyBorder="1" applyAlignment="1">
      <alignment vertical="top" wrapText="1"/>
    </xf>
    <xf numFmtId="0" fontId="5" fillId="0" borderId="10" xfId="21" applyFont="1" applyFill="1" applyBorder="1" applyAlignment="1">
      <alignment vertical="top" wrapText="1"/>
    </xf>
    <xf numFmtId="0" fontId="5" fillId="0" borderId="0" xfId="21" applyFont="1" applyFill="1" applyBorder="1" applyAlignment="1">
      <alignment vertical="top" shrinkToFit="1"/>
    </xf>
    <xf numFmtId="0" fontId="5" fillId="0" borderId="0" xfId="21" applyFont="1" applyFill="1" applyBorder="1" applyAlignment="1">
      <alignment horizontal="left"/>
    </xf>
    <xf numFmtId="3" fontId="5" fillId="0" borderId="0" xfId="21" applyNumberFormat="1" applyFont="1" applyFill="1" applyAlignment="1"/>
    <xf numFmtId="3" fontId="5" fillId="0" borderId="0" xfId="24" applyNumberFormat="1" applyFill="1" applyBorder="1" applyAlignment="1"/>
    <xf numFmtId="3" fontId="5" fillId="0" borderId="0" xfId="21" applyNumberFormat="1" applyFont="1" applyBorder="1" applyAlignment="1"/>
    <xf numFmtId="3" fontId="5" fillId="0" borderId="1" xfId="21" applyNumberFormat="1" applyFont="1" applyBorder="1" applyAlignment="1"/>
    <xf numFmtId="3" fontId="5" fillId="0" borderId="0" xfId="21" applyNumberFormat="1" applyFont="1" applyFill="1" applyBorder="1" applyAlignment="1"/>
    <xf numFmtId="3" fontId="5" fillId="5" borderId="0" xfId="21" applyNumberFormat="1" applyFont="1" applyFill="1" applyBorder="1" applyAlignment="1"/>
    <xf numFmtId="0" fontId="5" fillId="0" borderId="0" xfId="0" applyFont="1" applyBorder="1" applyAlignment="1">
      <alignment vertical="top"/>
    </xf>
    <xf numFmtId="0" fontId="23" fillId="0" borderId="0" xfId="24" applyFont="1" applyBorder="1"/>
    <xf numFmtId="0" fontId="23" fillId="0" borderId="0" xfId="24" applyFont="1" applyBorder="1" applyAlignment="1">
      <alignment horizontal="left"/>
    </xf>
    <xf numFmtId="0" fontId="24" fillId="0" borderId="0" xfId="24" applyFont="1" applyBorder="1"/>
    <xf numFmtId="3" fontId="24" fillId="0" borderId="0" xfId="24" applyNumberFormat="1" applyFont="1" applyBorder="1"/>
    <xf numFmtId="0" fontId="25" fillId="0" borderId="0" xfId="24" applyFont="1" applyBorder="1"/>
    <xf numFmtId="3" fontId="23" fillId="0" borderId="0" xfId="24" applyNumberFormat="1" applyFont="1" applyBorder="1" applyAlignment="1">
      <alignment vertical="top" wrapText="1"/>
    </xf>
    <xf numFmtId="0" fontId="23" fillId="0" borderId="0" xfId="24" applyFont="1" applyBorder="1" applyAlignment="1">
      <alignment vertical="top" wrapText="1"/>
    </xf>
    <xf numFmtId="0" fontId="23" fillId="0" borderId="0" xfId="24" applyFont="1" applyBorder="1" applyAlignment="1">
      <alignment horizontal="left" vertical="top" wrapText="1"/>
    </xf>
    <xf numFmtId="3" fontId="23" fillId="0" borderId="0" xfId="24" applyNumberFormat="1" applyFont="1" applyBorder="1"/>
    <xf numFmtId="3" fontId="23" fillId="0" borderId="0" xfId="24" applyNumberFormat="1" applyFont="1" applyBorder="1" applyAlignment="1">
      <alignment horizontal="right" wrapText="1"/>
    </xf>
    <xf numFmtId="0" fontId="23" fillId="0" borderId="0" xfId="24" applyFont="1" applyBorder="1" applyAlignment="1">
      <alignment wrapText="1"/>
    </xf>
    <xf numFmtId="0" fontId="23" fillId="0" borderId="0" xfId="24" applyFont="1" applyBorder="1" applyAlignment="1"/>
    <xf numFmtId="3" fontId="23" fillId="0" borderId="0" xfId="24" applyNumberFormat="1" applyFont="1" applyBorder="1" applyAlignment="1">
      <alignment horizontal="right"/>
    </xf>
    <xf numFmtId="0" fontId="23" fillId="0" borderId="0" xfId="24" applyFont="1" applyFill="1" applyBorder="1" applyAlignment="1"/>
    <xf numFmtId="0" fontId="24" fillId="0" borderId="0" xfId="24" applyFont="1" applyFill="1" applyBorder="1" applyAlignment="1"/>
    <xf numFmtId="0" fontId="23" fillId="0" borderId="0" xfId="24" applyFont="1" applyBorder="1" applyAlignment="1">
      <alignment vertical="top"/>
    </xf>
    <xf numFmtId="0" fontId="23" fillId="0" borderId="0" xfId="24" applyFont="1" applyBorder="1" applyAlignment="1">
      <alignment horizontal="right"/>
    </xf>
    <xf numFmtId="0" fontId="24" fillId="0" borderId="0" xfId="24" applyFont="1" applyBorder="1" applyAlignment="1">
      <alignment vertical="top"/>
    </xf>
    <xf numFmtId="3" fontId="23" fillId="0" borderId="0" xfId="12" applyNumberFormat="1" applyFont="1" applyAlignment="1"/>
    <xf numFmtId="3" fontId="28" fillId="0" borderId="0" xfId="12" applyNumberFormat="1" applyFont="1" applyAlignment="1"/>
    <xf numFmtId="3" fontId="24" fillId="0" borderId="0" xfId="12" applyNumberFormat="1" applyFont="1" applyAlignment="1"/>
    <xf numFmtId="3" fontId="41" fillId="0" borderId="0" xfId="12" applyNumberFormat="1" applyFont="1" applyAlignment="1"/>
    <xf numFmtId="3" fontId="42" fillId="0" borderId="0" xfId="12" applyNumberFormat="1" applyFont="1" applyAlignment="1"/>
    <xf numFmtId="3" fontId="43" fillId="0" borderId="0" xfId="12" applyNumberFormat="1" applyFont="1" applyAlignment="1"/>
    <xf numFmtId="3" fontId="44" fillId="0" borderId="0" xfId="12" applyNumberFormat="1" applyFont="1" applyAlignment="1"/>
    <xf numFmtId="0" fontId="43" fillId="0" borderId="0" xfId="24" applyFont="1" applyBorder="1" applyAlignment="1">
      <alignment vertical="top"/>
    </xf>
    <xf numFmtId="0" fontId="43" fillId="0" borderId="0" xfId="24" applyFont="1" applyBorder="1" applyAlignment="1">
      <alignment horizontal="right"/>
    </xf>
    <xf numFmtId="3" fontId="43" fillId="0" borderId="0" xfId="24" applyNumberFormat="1" applyFont="1" applyBorder="1" applyAlignment="1">
      <alignment horizontal="right"/>
    </xf>
    <xf numFmtId="0" fontId="43" fillId="0" borderId="0" xfId="24" applyFont="1" applyFill="1" applyBorder="1" applyAlignment="1"/>
    <xf numFmtId="0" fontId="41" fillId="0" borderId="0" xfId="24" applyFont="1" applyBorder="1" applyAlignment="1">
      <alignment vertical="top"/>
    </xf>
    <xf numFmtId="0" fontId="41" fillId="0" borderId="0" xfId="24" applyFont="1" applyBorder="1" applyAlignment="1">
      <alignment horizontal="right"/>
    </xf>
    <xf numFmtId="3" fontId="41" fillId="0" borderId="0" xfId="24" applyNumberFormat="1" applyFont="1" applyBorder="1" applyAlignment="1">
      <alignment horizontal="right"/>
    </xf>
    <xf numFmtId="0" fontId="41" fillId="0" borderId="0" xfId="24" applyFont="1" applyFill="1" applyBorder="1" applyAlignment="1"/>
    <xf numFmtId="0" fontId="45" fillId="0" borderId="0" xfId="24" applyFont="1" applyBorder="1" applyAlignment="1">
      <alignment vertical="top"/>
    </xf>
    <xf numFmtId="0" fontId="23" fillId="0" borderId="2" xfId="24" applyFont="1" applyBorder="1" applyAlignment="1">
      <alignment horizontal="right" vertical="top" wrapText="1"/>
    </xf>
    <xf numFmtId="0" fontId="23" fillId="0" borderId="0" xfId="24" applyFont="1" applyBorder="1" applyAlignment="1">
      <alignment horizontal="right" vertical="top" wrapText="1"/>
    </xf>
    <xf numFmtId="3" fontId="23" fillId="0" borderId="0" xfId="24" applyNumberFormat="1" applyFont="1" applyBorder="1" applyAlignment="1">
      <alignment horizontal="right" vertical="top" wrapText="1"/>
    </xf>
    <xf numFmtId="0" fontId="45" fillId="0" borderId="0" xfId="24" applyFont="1" applyBorder="1" applyAlignment="1">
      <alignment horizontal="right" vertical="top" wrapText="1"/>
    </xf>
    <xf numFmtId="3" fontId="45" fillId="0" borderId="0" xfId="24" applyNumberFormat="1" applyFont="1" applyBorder="1" applyAlignment="1">
      <alignment horizontal="right" vertical="top" wrapText="1"/>
    </xf>
    <xf numFmtId="0" fontId="46" fillId="0" borderId="0" xfId="24" applyFont="1" applyBorder="1" applyAlignment="1">
      <alignment vertical="top"/>
    </xf>
    <xf numFmtId="3" fontId="46" fillId="0" borderId="0" xfId="24" applyNumberFormat="1" applyFont="1" applyBorder="1" applyAlignment="1">
      <alignment horizontal="right" vertical="top" wrapText="1"/>
    </xf>
    <xf numFmtId="0" fontId="46" fillId="0" borderId="0" xfId="24" applyFont="1" applyBorder="1" applyAlignment="1">
      <alignment horizontal="right" vertical="top" wrapText="1"/>
    </xf>
    <xf numFmtId="0" fontId="43" fillId="0" borderId="0" xfId="24" applyFont="1" applyBorder="1" applyAlignment="1">
      <alignment horizontal="right" vertical="top" wrapText="1"/>
    </xf>
    <xf numFmtId="3" fontId="43" fillId="0" borderId="0" xfId="24" applyNumberFormat="1" applyFont="1" applyBorder="1" applyAlignment="1">
      <alignment horizontal="right" vertical="top" wrapText="1"/>
    </xf>
    <xf numFmtId="0" fontId="24" fillId="0" borderId="2" xfId="24" applyFont="1" applyBorder="1" applyAlignment="1">
      <alignment horizontal="left" vertical="top"/>
    </xf>
    <xf numFmtId="0" fontId="23" fillId="0" borderId="0" xfId="24" applyFont="1" applyBorder="1" applyAlignment="1">
      <alignment horizontal="left" vertical="top"/>
    </xf>
    <xf numFmtId="0" fontId="45" fillId="0" borderId="0" xfId="24" applyFont="1" applyBorder="1" applyAlignment="1">
      <alignment horizontal="left" vertical="top"/>
    </xf>
    <xf numFmtId="0" fontId="46" fillId="0" borderId="0" xfId="24" applyFont="1" applyBorder="1" applyAlignment="1">
      <alignment horizontal="left" vertical="top"/>
    </xf>
    <xf numFmtId="0" fontId="43" fillId="0" borderId="0" xfId="24" applyFont="1" applyBorder="1" applyAlignment="1">
      <alignment horizontal="left" vertical="top"/>
    </xf>
    <xf numFmtId="0" fontId="7" fillId="0" borderId="0" xfId="9" quotePrefix="1" applyAlignment="1" applyProtection="1"/>
    <xf numFmtId="0" fontId="7" fillId="0" borderId="0" xfId="9" applyAlignment="1" applyProtection="1">
      <alignment horizontal="left"/>
    </xf>
    <xf numFmtId="3" fontId="23" fillId="0" borderId="11" xfId="12" applyNumberFormat="1" applyFont="1" applyBorder="1" applyAlignment="1"/>
    <xf numFmtId="3" fontId="23" fillId="6" borderId="0" xfId="24" applyNumberFormat="1" applyFont="1" applyFill="1" applyBorder="1" applyAlignment="1">
      <alignment horizontal="right"/>
    </xf>
    <xf numFmtId="3" fontId="43" fillId="6" borderId="0" xfId="24" applyNumberFormat="1" applyFont="1" applyFill="1" applyBorder="1" applyAlignment="1">
      <alignment horizontal="right"/>
    </xf>
    <xf numFmtId="3" fontId="23" fillId="0" borderId="0" xfId="24" applyNumberFormat="1" applyFont="1" applyFill="1" applyBorder="1" applyAlignment="1"/>
    <xf numFmtId="10" fontId="23" fillId="0" borderId="0" xfId="42" applyNumberFormat="1" applyFont="1" applyFill="1" applyBorder="1" applyAlignment="1"/>
    <xf numFmtId="3" fontId="23" fillId="6" borderId="0" xfId="24" applyNumberFormat="1" applyFont="1" applyFill="1" applyBorder="1" applyAlignment="1">
      <alignment horizontal="right" vertical="top" wrapText="1"/>
    </xf>
    <xf numFmtId="3" fontId="45" fillId="6" borderId="0" xfId="24" applyNumberFormat="1" applyFont="1" applyFill="1" applyBorder="1" applyAlignment="1">
      <alignment horizontal="right" vertical="top" wrapText="1"/>
    </xf>
    <xf numFmtId="3" fontId="46" fillId="6" borderId="0" xfId="24" applyNumberFormat="1" applyFont="1" applyFill="1" applyBorder="1" applyAlignment="1">
      <alignment horizontal="right" vertical="top" wrapText="1"/>
    </xf>
    <xf numFmtId="3" fontId="43" fillId="6" borderId="0" xfId="24" applyNumberFormat="1" applyFont="1" applyFill="1" applyBorder="1" applyAlignment="1">
      <alignment horizontal="right" vertical="top" wrapText="1"/>
    </xf>
    <xf numFmtId="3" fontId="23" fillId="0" borderId="0" xfId="24" applyNumberFormat="1" applyFont="1" applyBorder="1" applyAlignment="1">
      <alignment vertical="top"/>
    </xf>
    <xf numFmtId="3" fontId="23" fillId="7" borderId="0" xfId="24" applyNumberFormat="1" applyFont="1" applyFill="1" applyBorder="1" applyAlignment="1">
      <alignment horizontal="right"/>
    </xf>
    <xf numFmtId="0" fontId="23" fillId="7" borderId="0" xfId="24" applyFont="1" applyFill="1" applyBorder="1" applyAlignment="1">
      <alignment horizontal="right"/>
    </xf>
    <xf numFmtId="3" fontId="43" fillId="7" borderId="0" xfId="24" applyNumberFormat="1" applyFont="1" applyFill="1" applyBorder="1" applyAlignment="1">
      <alignment horizontal="right"/>
    </xf>
    <xf numFmtId="0" fontId="23" fillId="7" borderId="2" xfId="24" applyFont="1" applyFill="1" applyBorder="1" applyAlignment="1">
      <alignment horizontal="right" vertical="top" wrapText="1"/>
    </xf>
    <xf numFmtId="3" fontId="23" fillId="7" borderId="0" xfId="24" applyNumberFormat="1" applyFont="1" applyFill="1" applyBorder="1" applyAlignment="1">
      <alignment horizontal="right" vertical="top" wrapText="1"/>
    </xf>
    <xf numFmtId="0" fontId="23" fillId="7" borderId="0" xfId="24" applyFont="1" applyFill="1" applyBorder="1" applyAlignment="1">
      <alignment horizontal="right" vertical="top" wrapText="1"/>
    </xf>
    <xf numFmtId="3" fontId="45" fillId="7" borderId="0" xfId="24" applyNumberFormat="1" applyFont="1" applyFill="1" applyBorder="1" applyAlignment="1">
      <alignment horizontal="right" vertical="top" wrapText="1"/>
    </xf>
    <xf numFmtId="3" fontId="46" fillId="7" borderId="0" xfId="24" applyNumberFormat="1" applyFont="1" applyFill="1" applyBorder="1" applyAlignment="1">
      <alignment horizontal="right" vertical="top" wrapText="1"/>
    </xf>
    <xf numFmtId="3" fontId="43" fillId="7" borderId="0" xfId="24" applyNumberFormat="1" applyFont="1" applyFill="1" applyBorder="1" applyAlignment="1">
      <alignment horizontal="right" vertical="top" wrapText="1"/>
    </xf>
    <xf numFmtId="10" fontId="23" fillId="0" borderId="0" xfId="42" applyNumberFormat="1" applyFont="1" applyBorder="1" applyAlignment="1">
      <alignment vertical="top"/>
    </xf>
    <xf numFmtId="10" fontId="23" fillId="6" borderId="0" xfId="42" applyNumberFormat="1" applyFont="1" applyFill="1" applyBorder="1" applyAlignment="1">
      <alignment vertical="top"/>
    </xf>
    <xf numFmtId="10" fontId="23" fillId="7" borderId="0" xfId="42" applyNumberFormat="1" applyFont="1" applyFill="1" applyBorder="1" applyAlignment="1">
      <alignment vertical="top"/>
    </xf>
    <xf numFmtId="3" fontId="24" fillId="8" borderId="11" xfId="24" applyNumberFormat="1" applyFont="1" applyFill="1" applyBorder="1" applyAlignment="1">
      <alignment horizontal="right" vertical="top" wrapText="1"/>
    </xf>
    <xf numFmtId="9" fontId="24" fillId="8" borderId="11" xfId="42" applyFont="1" applyFill="1" applyBorder="1" applyAlignment="1">
      <alignment horizontal="right" vertical="top" wrapText="1"/>
    </xf>
    <xf numFmtId="0" fontId="24" fillId="8" borderId="11" xfId="24" applyFont="1" applyFill="1" applyBorder="1" applyAlignment="1">
      <alignment horizontal="right"/>
    </xf>
    <xf numFmtId="3" fontId="24" fillId="8" borderId="11" xfId="24" applyNumberFormat="1" applyFont="1" applyFill="1" applyBorder="1" applyAlignment="1">
      <alignment horizontal="right"/>
    </xf>
    <xf numFmtId="9" fontId="24" fillId="8" borderId="11" xfId="42" applyFont="1" applyFill="1" applyBorder="1" applyAlignment="1">
      <alignment horizontal="right"/>
    </xf>
    <xf numFmtId="43" fontId="23" fillId="0" borderId="0" xfId="1" applyFont="1" applyBorder="1" applyAlignment="1">
      <alignment horizontal="right" vertical="top" wrapText="1"/>
    </xf>
    <xf numFmtId="3" fontId="43" fillId="0" borderId="0" xfId="24" applyNumberFormat="1" applyFont="1" applyBorder="1" applyAlignment="1">
      <alignment horizontal="right" wrapText="1"/>
    </xf>
    <xf numFmtId="3" fontId="23" fillId="6" borderId="0" xfId="24" applyNumberFormat="1" applyFont="1" applyFill="1" applyBorder="1" applyAlignment="1">
      <alignment horizontal="right" wrapText="1"/>
    </xf>
    <xf numFmtId="3" fontId="43" fillId="6" borderId="0" xfId="24" applyNumberFormat="1" applyFont="1" applyFill="1" applyBorder="1" applyAlignment="1">
      <alignment horizontal="right" wrapText="1"/>
    </xf>
    <xf numFmtId="3" fontId="23" fillId="7" borderId="0" xfId="24" applyNumberFormat="1" applyFont="1" applyFill="1" applyBorder="1" applyAlignment="1">
      <alignment horizontal="right" wrapText="1"/>
    </xf>
    <xf numFmtId="3" fontId="43" fillId="7" borderId="0" xfId="24" applyNumberFormat="1" applyFont="1" applyFill="1" applyBorder="1" applyAlignment="1">
      <alignment horizontal="right" wrapText="1"/>
    </xf>
    <xf numFmtId="3" fontId="41" fillId="6" borderId="0" xfId="24" applyNumberFormat="1" applyFont="1" applyFill="1" applyBorder="1" applyAlignment="1">
      <alignment horizontal="right"/>
    </xf>
    <xf numFmtId="3" fontId="41" fillId="7" borderId="0" xfId="24" applyNumberFormat="1" applyFont="1" applyFill="1" applyBorder="1" applyAlignment="1">
      <alignment horizontal="right"/>
    </xf>
    <xf numFmtId="165" fontId="23" fillId="0" borderId="0" xfId="24" applyNumberFormat="1" applyFont="1" applyBorder="1"/>
    <xf numFmtId="10" fontId="23" fillId="0" borderId="0" xfId="42" applyNumberFormat="1" applyFont="1" applyFill="1" applyBorder="1" applyAlignment="1">
      <alignment vertical="top"/>
    </xf>
    <xf numFmtId="0" fontId="41" fillId="0" borderId="0" xfId="24" applyFont="1" applyBorder="1" applyAlignment="1">
      <alignment horizontal="left" vertical="top" wrapText="1"/>
    </xf>
    <xf numFmtId="3" fontId="41" fillId="0" borderId="0" xfId="24" applyNumberFormat="1" applyFont="1" applyBorder="1" applyAlignment="1">
      <alignment horizontal="right" wrapText="1"/>
    </xf>
    <xf numFmtId="0" fontId="43" fillId="0" borderId="0" xfId="24" applyFont="1" applyBorder="1" applyAlignment="1">
      <alignment horizontal="left" vertical="top" wrapText="1"/>
    </xf>
    <xf numFmtId="3" fontId="23" fillId="0" borderId="0" xfId="24" applyNumberFormat="1" applyFont="1" applyFill="1" applyBorder="1" applyAlignment="1">
      <alignment horizontal="right" wrapText="1"/>
    </xf>
    <xf numFmtId="0" fontId="43" fillId="0" borderId="0" xfId="24" applyFont="1" applyFill="1" applyBorder="1" applyAlignment="1">
      <alignment horizontal="left" vertical="top" wrapText="1"/>
    </xf>
    <xf numFmtId="3" fontId="43" fillId="0" borderId="0" xfId="24" applyNumberFormat="1" applyFont="1" applyFill="1" applyBorder="1" applyAlignment="1">
      <alignment horizontal="right" wrapText="1"/>
    </xf>
    <xf numFmtId="165" fontId="23" fillId="0" borderId="0" xfId="24" applyNumberFormat="1" applyFont="1" applyFill="1" applyBorder="1"/>
    <xf numFmtId="3" fontId="41" fillId="6" borderId="0" xfId="24" applyNumberFormat="1" applyFont="1" applyFill="1" applyBorder="1" applyAlignment="1">
      <alignment horizontal="right" wrapText="1"/>
    </xf>
    <xf numFmtId="165" fontId="23" fillId="6" borderId="0" xfId="24" applyNumberFormat="1" applyFont="1" applyFill="1" applyBorder="1"/>
    <xf numFmtId="3" fontId="41" fillId="7" borderId="0" xfId="24" applyNumberFormat="1" applyFont="1" applyFill="1" applyBorder="1" applyAlignment="1">
      <alignment horizontal="right" wrapText="1"/>
    </xf>
    <xf numFmtId="10" fontId="23" fillId="0" borderId="0" xfId="42" applyNumberFormat="1" applyFont="1" applyBorder="1"/>
    <xf numFmtId="9" fontId="24" fillId="8" borderId="11" xfId="42" applyNumberFormat="1" applyFont="1" applyFill="1" applyBorder="1" applyAlignment="1">
      <alignment horizontal="right" vertical="top" wrapText="1"/>
    </xf>
    <xf numFmtId="165" fontId="23" fillId="7" borderId="0" xfId="24" applyNumberFormat="1" applyFont="1" applyFill="1" applyBorder="1"/>
    <xf numFmtId="0" fontId="23" fillId="6" borderId="0" xfId="24" applyFont="1" applyFill="1" applyBorder="1" applyAlignment="1">
      <alignment vertical="top" wrapText="1"/>
    </xf>
    <xf numFmtId="0" fontId="23" fillId="0" borderId="0" xfId="24" applyFont="1" applyBorder="1" applyAlignment="1">
      <alignment horizontal="left" wrapText="1"/>
    </xf>
    <xf numFmtId="0" fontId="23" fillId="0" borderId="0" xfId="24" applyFont="1" applyFill="1" applyBorder="1" applyAlignment="1">
      <alignment horizontal="left" wrapText="1"/>
    </xf>
    <xf numFmtId="165" fontId="23" fillId="0" borderId="0" xfId="42" applyNumberFormat="1" applyFont="1" applyFill="1" applyBorder="1"/>
    <xf numFmtId="0" fontId="23" fillId="0" borderId="0" xfId="24" applyFont="1" applyFill="1" applyBorder="1"/>
    <xf numFmtId="3" fontId="41" fillId="0" borderId="0" xfId="24" applyNumberFormat="1" applyFont="1" applyBorder="1" applyAlignment="1">
      <alignment vertical="top" wrapText="1"/>
    </xf>
    <xf numFmtId="0" fontId="41" fillId="0" borderId="0" xfId="24" applyFont="1" applyBorder="1" applyAlignment="1">
      <alignment vertical="top" wrapText="1"/>
    </xf>
    <xf numFmtId="0" fontId="41" fillId="0" borderId="0" xfId="24" applyFont="1" applyFill="1" applyBorder="1" applyAlignment="1">
      <alignment horizontal="left" vertical="top" wrapText="1"/>
    </xf>
    <xf numFmtId="0" fontId="41" fillId="0" borderId="0" xfId="24" applyFont="1" applyFill="1" applyBorder="1" applyAlignment="1">
      <alignment vertical="top" wrapText="1"/>
    </xf>
    <xf numFmtId="3" fontId="41" fillId="0" borderId="0" xfId="24" applyNumberFormat="1" applyFont="1" applyFill="1" applyBorder="1" applyAlignment="1">
      <alignment vertical="top" wrapText="1"/>
    </xf>
    <xf numFmtId="3" fontId="23" fillId="0" borderId="0" xfId="24" applyNumberFormat="1" applyFont="1" applyFill="1" applyBorder="1"/>
    <xf numFmtId="3" fontId="23" fillId="6" borderId="0" xfId="24" applyNumberFormat="1" applyFont="1" applyFill="1" applyBorder="1" applyAlignment="1">
      <alignment vertical="top" wrapText="1"/>
    </xf>
    <xf numFmtId="3" fontId="41" fillId="6" borderId="0" xfId="24" applyNumberFormat="1" applyFont="1" applyFill="1" applyBorder="1" applyAlignment="1">
      <alignment vertical="top" wrapText="1"/>
    </xf>
    <xf numFmtId="3" fontId="23" fillId="6" borderId="0" xfId="24" applyNumberFormat="1" applyFont="1" applyFill="1" applyBorder="1"/>
    <xf numFmtId="165" fontId="23" fillId="6" borderId="0" xfId="42" applyNumberFormat="1" applyFont="1" applyFill="1" applyBorder="1"/>
    <xf numFmtId="0" fontId="41" fillId="6" borderId="0" xfId="24" applyFont="1" applyFill="1" applyBorder="1" applyAlignment="1">
      <alignment vertical="top" wrapText="1"/>
    </xf>
    <xf numFmtId="3" fontId="23" fillId="7" borderId="0" xfId="24" applyNumberFormat="1" applyFont="1" applyFill="1" applyBorder="1" applyAlignment="1">
      <alignment vertical="top" wrapText="1"/>
    </xf>
    <xf numFmtId="3" fontId="41" fillId="7" borderId="0" xfId="24" applyNumberFormat="1" applyFont="1" applyFill="1" applyBorder="1" applyAlignment="1">
      <alignment vertical="top" wrapText="1"/>
    </xf>
    <xf numFmtId="3" fontId="23" fillId="7" borderId="0" xfId="24" applyNumberFormat="1" applyFont="1" applyFill="1" applyBorder="1"/>
    <xf numFmtId="165" fontId="23" fillId="7" borderId="0" xfId="42" applyNumberFormat="1" applyFont="1" applyFill="1" applyBorder="1"/>
    <xf numFmtId="3" fontId="24" fillId="6" borderId="0" xfId="24" applyNumberFormat="1" applyFont="1" applyFill="1" applyBorder="1" applyAlignment="1">
      <alignment vertical="top" wrapText="1"/>
    </xf>
    <xf numFmtId="167" fontId="24" fillId="8" borderId="11" xfId="1" applyNumberFormat="1" applyFont="1" applyFill="1" applyBorder="1" applyAlignment="1">
      <alignment horizontal="right" vertical="top" wrapText="1"/>
    </xf>
    <xf numFmtId="167" fontId="24" fillId="6" borderId="11" xfId="1" applyNumberFormat="1" applyFont="1" applyFill="1" applyBorder="1" applyAlignment="1">
      <alignment horizontal="right" vertical="top" wrapText="1"/>
    </xf>
    <xf numFmtId="167" fontId="24" fillId="7" borderId="11" xfId="1" applyNumberFormat="1" applyFont="1" applyFill="1" applyBorder="1" applyAlignment="1">
      <alignment horizontal="right" vertical="top" wrapText="1"/>
    </xf>
    <xf numFmtId="0" fontId="43" fillId="0" borderId="0" xfId="24" applyFont="1" applyBorder="1" applyAlignment="1">
      <alignment vertical="top" wrapText="1"/>
    </xf>
    <xf numFmtId="3" fontId="43" fillId="6" borderId="0" xfId="24" applyNumberFormat="1" applyFont="1" applyFill="1" applyBorder="1" applyAlignment="1">
      <alignment vertical="top" wrapText="1"/>
    </xf>
    <xf numFmtId="3" fontId="43" fillId="0" borderId="0" xfId="24" applyNumberFormat="1" applyFont="1" applyBorder="1" applyAlignment="1">
      <alignment vertical="top" wrapText="1"/>
    </xf>
    <xf numFmtId="0" fontId="43" fillId="6" borderId="0" xfId="24" applyFont="1" applyFill="1" applyBorder="1" applyAlignment="1">
      <alignment vertical="top" wrapText="1"/>
    </xf>
    <xf numFmtId="3" fontId="43" fillId="7" borderId="0" xfId="24" applyNumberFormat="1" applyFont="1" applyFill="1" applyBorder="1" applyAlignment="1">
      <alignment vertical="top" wrapText="1"/>
    </xf>
    <xf numFmtId="3" fontId="43" fillId="0" borderId="0" xfId="24" applyNumberFormat="1" applyFont="1" applyFill="1" applyBorder="1" applyAlignment="1">
      <alignment vertical="top" wrapText="1"/>
    </xf>
    <xf numFmtId="0" fontId="43" fillId="0" borderId="0" xfId="24" applyFont="1" applyFill="1" applyBorder="1" applyAlignment="1">
      <alignment vertical="top" wrapText="1"/>
    </xf>
    <xf numFmtId="0" fontId="23" fillId="0" borderId="0" xfId="0" applyFont="1" applyBorder="1" applyAlignment="1">
      <alignment vertical="top"/>
    </xf>
    <xf numFmtId="0" fontId="23" fillId="0" borderId="0" xfId="0" applyFont="1" applyBorder="1" applyAlignment="1">
      <alignment wrapText="1"/>
    </xf>
    <xf numFmtId="3" fontId="23" fillId="0" borderId="0" xfId="0" applyNumberFormat="1" applyFont="1" applyBorder="1" applyAlignment="1">
      <alignment wrapText="1"/>
    </xf>
    <xf numFmtId="3" fontId="25" fillId="0" borderId="0" xfId="0" applyNumberFormat="1" applyFont="1" applyBorder="1" applyAlignment="1">
      <alignment wrapText="1"/>
    </xf>
    <xf numFmtId="3" fontId="23" fillId="0" borderId="0" xfId="0" applyNumberFormat="1" applyFont="1" applyBorder="1" applyAlignment="1"/>
    <xf numFmtId="0" fontId="23" fillId="0" borderId="0" xfId="0" applyFont="1"/>
    <xf numFmtId="3" fontId="23" fillId="0" borderId="0" xfId="0" applyNumberFormat="1" applyFont="1"/>
    <xf numFmtId="10" fontId="23" fillId="0" borderId="0" xfId="42" applyNumberFormat="1" applyFont="1"/>
    <xf numFmtId="0" fontId="25" fillId="0" borderId="0" xfId="0" applyFont="1" applyBorder="1" applyAlignment="1">
      <alignment vertical="top"/>
    </xf>
    <xf numFmtId="0" fontId="25" fillId="0" borderId="0" xfId="0" applyFont="1" applyBorder="1" applyAlignment="1">
      <alignment wrapText="1"/>
    </xf>
    <xf numFmtId="0" fontId="23" fillId="0" borderId="11" xfId="0" applyFont="1" applyBorder="1"/>
    <xf numFmtId="0" fontId="23" fillId="0" borderId="0" xfId="0" applyFont="1" applyBorder="1" applyAlignment="1"/>
    <xf numFmtId="165" fontId="23" fillId="0" borderId="0" xfId="0" applyNumberFormat="1" applyFont="1" applyBorder="1"/>
    <xf numFmtId="165" fontId="23" fillId="6" borderId="0" xfId="0" applyNumberFormat="1" applyFont="1" applyFill="1" applyBorder="1"/>
    <xf numFmtId="0" fontId="23" fillId="0" borderId="0" xfId="0" applyFont="1" applyFill="1"/>
    <xf numFmtId="0" fontId="25" fillId="0" borderId="0" xfId="0" applyFont="1" applyFill="1" applyBorder="1" applyAlignment="1">
      <alignment wrapText="1"/>
    </xf>
    <xf numFmtId="3" fontId="23" fillId="6" borderId="0" xfId="0" applyNumberFormat="1" applyFont="1" applyFill="1" applyBorder="1" applyAlignment="1">
      <alignment wrapText="1"/>
    </xf>
    <xf numFmtId="3" fontId="47" fillId="7" borderId="0" xfId="0" applyNumberFormat="1" applyFont="1" applyFill="1" applyBorder="1" applyAlignment="1">
      <alignment wrapText="1"/>
    </xf>
    <xf numFmtId="165" fontId="47" fillId="7" borderId="0" xfId="0" applyNumberFormat="1" applyFont="1" applyFill="1" applyBorder="1"/>
    <xf numFmtId="0" fontId="31" fillId="0" borderId="0" xfId="9" applyFont="1" applyAlignment="1" applyProtection="1">
      <alignment horizontal="left"/>
    </xf>
    <xf numFmtId="0" fontId="23" fillId="0" borderId="0" xfId="24" applyFont="1"/>
    <xf numFmtId="0" fontId="23" fillId="0" borderId="0" xfId="24" applyFont="1" applyFill="1"/>
    <xf numFmtId="0" fontId="24" fillId="0" borderId="0" xfId="24" applyFont="1" applyBorder="1" applyAlignment="1">
      <alignment vertical="top" wrapText="1"/>
    </xf>
    <xf numFmtId="0" fontId="23" fillId="0" borderId="0" xfId="24" applyFont="1" applyFill="1" applyBorder="1" applyAlignment="1">
      <alignment vertical="top" wrapText="1"/>
    </xf>
    <xf numFmtId="3" fontId="23" fillId="0" borderId="0" xfId="24" applyNumberFormat="1" applyFont="1"/>
    <xf numFmtId="3" fontId="24" fillId="6" borderId="11" xfId="24" applyNumberFormat="1" applyFont="1" applyFill="1" applyBorder="1" applyAlignment="1">
      <alignment vertical="top" wrapText="1"/>
    </xf>
    <xf numFmtId="0" fontId="24" fillId="0" borderId="11" xfId="24" applyFont="1" applyBorder="1"/>
    <xf numFmtId="3" fontId="24" fillId="7" borderId="11" xfId="24" applyNumberFormat="1" applyFont="1" applyFill="1" applyBorder="1" applyAlignment="1">
      <alignment vertical="top" wrapText="1"/>
    </xf>
    <xf numFmtId="0" fontId="24" fillId="0" borderId="0" xfId="0" applyFont="1"/>
    <xf numFmtId="0" fontId="23" fillId="3" borderId="0" xfId="0" applyFont="1" applyFill="1"/>
    <xf numFmtId="0" fontId="24" fillId="0" borderId="12" xfId="0" applyFont="1" applyBorder="1" applyAlignment="1">
      <alignment vertical="top"/>
    </xf>
    <xf numFmtId="0" fontId="24" fillId="0" borderId="12" xfId="0" applyFont="1" applyFill="1" applyBorder="1" applyAlignment="1">
      <alignment vertical="top"/>
    </xf>
    <xf numFmtId="0" fontId="24" fillId="3" borderId="0" xfId="0" applyFont="1" applyFill="1"/>
    <xf numFmtId="0" fontId="23" fillId="0" borderId="0" xfId="0" applyFont="1" applyBorder="1" applyAlignment="1">
      <alignment horizontal="left" vertical="top" wrapText="1"/>
    </xf>
    <xf numFmtId="0" fontId="23" fillId="0" borderId="0" xfId="0" applyFont="1" applyBorder="1" applyAlignment="1">
      <alignment vertical="top" wrapText="1"/>
    </xf>
    <xf numFmtId="3" fontId="23" fillId="6" borderId="0" xfId="0" applyNumberFormat="1" applyFont="1" applyFill="1" applyBorder="1" applyAlignment="1">
      <alignment vertical="top" wrapText="1"/>
    </xf>
    <xf numFmtId="3" fontId="23" fillId="0" borderId="0" xfId="0" applyNumberFormat="1" applyFont="1" applyBorder="1" applyAlignment="1">
      <alignment vertical="top" wrapText="1"/>
    </xf>
    <xf numFmtId="0" fontId="23" fillId="0" borderId="0" xfId="0" applyFont="1" applyBorder="1"/>
    <xf numFmtId="3" fontId="23" fillId="0" borderId="0" xfId="0" applyNumberFormat="1" applyFont="1" applyBorder="1"/>
    <xf numFmtId="10" fontId="23" fillId="0" borderId="0" xfId="42" applyNumberFormat="1" applyFont="1" applyBorder="1" applyAlignment="1"/>
    <xf numFmtId="0" fontId="23" fillId="6" borderId="0" xfId="0" applyFont="1" applyFill="1" applyBorder="1" applyAlignment="1">
      <alignment vertical="top" wrapText="1"/>
    </xf>
    <xf numFmtId="3" fontId="24" fillId="6" borderId="11" xfId="0" applyNumberFormat="1" applyFont="1" applyFill="1" applyBorder="1" applyAlignment="1">
      <alignment vertical="top" wrapText="1"/>
    </xf>
    <xf numFmtId="0" fontId="23" fillId="0" borderId="0" xfId="0" applyFont="1" applyBorder="1" applyAlignment="1">
      <alignment horizontal="left" vertical="top"/>
    </xf>
    <xf numFmtId="0" fontId="23" fillId="0" borderId="0" xfId="0" applyFont="1" applyBorder="1" applyAlignment="1">
      <alignment horizontal="left"/>
    </xf>
    <xf numFmtId="0" fontId="23" fillId="0" borderId="0" xfId="0" applyFont="1" applyFill="1" applyBorder="1"/>
    <xf numFmtId="0" fontId="24" fillId="0" borderId="0" xfId="0" applyFont="1" applyBorder="1"/>
    <xf numFmtId="0" fontId="23" fillId="0" borderId="0" xfId="0" applyFont="1" applyFill="1" applyBorder="1" applyAlignment="1">
      <alignment vertical="top"/>
    </xf>
    <xf numFmtId="0" fontId="23" fillId="0" borderId="0" xfId="0" applyFont="1" applyAlignment="1">
      <alignment horizontal="left"/>
    </xf>
    <xf numFmtId="0" fontId="23" fillId="0" borderId="0" xfId="0" applyFont="1" applyAlignment="1"/>
    <xf numFmtId="0" fontId="23" fillId="0" borderId="0" xfId="0" applyFont="1" applyFill="1" applyAlignment="1"/>
    <xf numFmtId="3" fontId="23" fillId="0" borderId="0" xfId="0" applyNumberFormat="1" applyFont="1" applyAlignment="1"/>
    <xf numFmtId="1" fontId="23" fillId="0" borderId="0" xfId="0" applyNumberFormat="1" applyFont="1" applyBorder="1" applyAlignment="1"/>
    <xf numFmtId="3" fontId="24" fillId="0" borderId="2" xfId="0" applyNumberFormat="1" applyFont="1" applyBorder="1" applyAlignment="1"/>
    <xf numFmtId="0" fontId="23" fillId="0" borderId="2" xfId="0" applyFont="1" applyBorder="1" applyAlignment="1"/>
    <xf numFmtId="3" fontId="24" fillId="0" borderId="0" xfId="0" applyNumberFormat="1" applyFont="1" applyAlignment="1"/>
    <xf numFmtId="10" fontId="24" fillId="0" borderId="0" xfId="0" applyNumberFormat="1" applyFont="1" applyAlignment="1"/>
    <xf numFmtId="0" fontId="23" fillId="0" borderId="0" xfId="0" applyFont="1" applyAlignment="1">
      <alignment horizontal="right"/>
    </xf>
    <xf numFmtId="3" fontId="24" fillId="7" borderId="0" xfId="0" applyNumberFormat="1" applyFont="1" applyFill="1" applyBorder="1" applyAlignment="1">
      <alignment vertical="top" wrapText="1"/>
    </xf>
    <xf numFmtId="3" fontId="24" fillId="7" borderId="11" xfId="0" applyNumberFormat="1" applyFont="1" applyFill="1" applyBorder="1" applyAlignment="1">
      <alignment vertical="top" wrapText="1"/>
    </xf>
    <xf numFmtId="3" fontId="23" fillId="7" borderId="0" xfId="0" applyNumberFormat="1" applyFont="1" applyFill="1" applyBorder="1" applyAlignment="1">
      <alignment vertical="top" wrapText="1"/>
    </xf>
    <xf numFmtId="165" fontId="24" fillId="7" borderId="0" xfId="0" applyNumberFormat="1" applyFont="1" applyFill="1" applyBorder="1"/>
    <xf numFmtId="0" fontId="23" fillId="3" borderId="0" xfId="0" applyFont="1" applyFill="1" applyAlignment="1"/>
    <xf numFmtId="0" fontId="24" fillId="0" borderId="0" xfId="0" applyFont="1" applyBorder="1" applyAlignment="1">
      <alignment wrapText="1"/>
    </xf>
    <xf numFmtId="0" fontId="24" fillId="3" borderId="0" xfId="0" applyFont="1" applyFill="1" applyAlignment="1"/>
    <xf numFmtId="0" fontId="24" fillId="0" borderId="0" xfId="0" applyFont="1" applyFill="1" applyBorder="1" applyAlignment="1">
      <alignment wrapText="1"/>
    </xf>
    <xf numFmtId="0" fontId="23" fillId="0" borderId="0" xfId="0" applyFont="1" applyBorder="1" applyAlignment="1">
      <alignment horizontal="left" wrapText="1"/>
    </xf>
    <xf numFmtId="0" fontId="23" fillId="6" borderId="0" xfId="0" applyFont="1" applyFill="1" applyBorder="1" applyAlignment="1">
      <alignment wrapText="1"/>
    </xf>
    <xf numFmtId="3" fontId="24" fillId="6" borderId="11" xfId="0" applyNumberFormat="1" applyFont="1" applyFill="1" applyBorder="1" applyAlignment="1">
      <alignment wrapText="1"/>
    </xf>
    <xf numFmtId="0" fontId="24" fillId="0" borderId="11" xfId="0" applyFont="1" applyBorder="1" applyAlignment="1"/>
    <xf numFmtId="165" fontId="23" fillId="0" borderId="0" xfId="0" applyNumberFormat="1" applyFont="1" applyBorder="1" applyAlignment="1"/>
    <xf numFmtId="165" fontId="23" fillId="6" borderId="0" xfId="0" applyNumberFormat="1" applyFont="1" applyFill="1" applyBorder="1" applyAlignment="1"/>
    <xf numFmtId="1" fontId="24" fillId="0" borderId="0" xfId="0" applyNumberFormat="1" applyFont="1" applyAlignment="1"/>
    <xf numFmtId="3" fontId="23" fillId="7" borderId="0" xfId="0" applyNumberFormat="1" applyFont="1" applyFill="1" applyBorder="1" applyAlignment="1">
      <alignment wrapText="1"/>
    </xf>
    <xf numFmtId="3" fontId="24" fillId="7" borderId="11" xfId="0" applyNumberFormat="1" applyFont="1" applyFill="1" applyBorder="1" applyAlignment="1">
      <alignment wrapText="1"/>
    </xf>
    <xf numFmtId="165" fontId="23" fillId="7" borderId="0" xfId="0" applyNumberFormat="1" applyFont="1" applyFill="1" applyBorder="1" applyAlignment="1"/>
    <xf numFmtId="10" fontId="24" fillId="8" borderId="11" xfId="42" applyNumberFormat="1" applyFont="1" applyFill="1" applyBorder="1" applyAlignment="1">
      <alignment horizontal="right" vertical="top" wrapText="1"/>
    </xf>
    <xf numFmtId="0" fontId="23" fillId="4" borderId="0" xfId="0" applyFont="1" applyFill="1" applyAlignment="1"/>
    <xf numFmtId="0" fontId="23" fillId="0" borderId="1" xfId="0" applyFont="1" applyBorder="1" applyAlignment="1">
      <alignment wrapText="1"/>
    </xf>
    <xf numFmtId="0" fontId="30" fillId="0" borderId="0" xfId="13" applyFont="1"/>
    <xf numFmtId="0" fontId="25" fillId="0" borderId="0" xfId="13" applyFont="1" applyFill="1" applyAlignment="1">
      <alignment horizontal="right"/>
    </xf>
    <xf numFmtId="3" fontId="25" fillId="0" borderId="0" xfId="13" applyNumberFormat="1" applyFont="1" applyFill="1" applyAlignment="1">
      <alignment horizontal="right"/>
    </xf>
    <xf numFmtId="3" fontId="30" fillId="0" borderId="0" xfId="13" applyNumberFormat="1" applyFont="1"/>
    <xf numFmtId="3" fontId="30" fillId="6" borderId="0" xfId="13" applyNumberFormat="1" applyFont="1" applyFill="1"/>
    <xf numFmtId="3" fontId="25" fillId="4" borderId="0" xfId="13" applyNumberFormat="1" applyFont="1" applyFill="1" applyAlignment="1">
      <alignment horizontal="right"/>
    </xf>
    <xf numFmtId="0" fontId="25" fillId="4" borderId="0" xfId="13" applyFont="1" applyFill="1" applyAlignment="1">
      <alignment horizontal="right"/>
    </xf>
    <xf numFmtId="0" fontId="30" fillId="6" borderId="0" xfId="13" applyFont="1" applyFill="1"/>
    <xf numFmtId="0" fontId="30" fillId="0" borderId="0" xfId="13" applyFont="1" applyFill="1"/>
    <xf numFmtId="0" fontId="25" fillId="0" borderId="0" xfId="13" applyFont="1"/>
    <xf numFmtId="3" fontId="25" fillId="6" borderId="0" xfId="13" applyNumberFormat="1" applyFont="1" applyFill="1" applyAlignment="1">
      <alignment horizontal="right"/>
    </xf>
    <xf numFmtId="3" fontId="26" fillId="4" borderId="0" xfId="13" applyNumberFormat="1" applyFont="1" applyFill="1" applyAlignment="1">
      <alignment horizontal="right"/>
    </xf>
    <xf numFmtId="3" fontId="30" fillId="0" borderId="0" xfId="13" applyNumberFormat="1" applyFont="1" applyFill="1"/>
    <xf numFmtId="3" fontId="30" fillId="0" borderId="1" xfId="13" applyNumberFormat="1" applyFont="1" applyBorder="1"/>
    <xf numFmtId="0" fontId="25" fillId="0" borderId="1" xfId="13" applyFont="1" applyFill="1" applyBorder="1" applyAlignment="1">
      <alignment horizontal="right"/>
    </xf>
    <xf numFmtId="3" fontId="30" fillId="6" borderId="1" xfId="13" applyNumberFormat="1" applyFont="1" applyFill="1" applyBorder="1"/>
    <xf numFmtId="0" fontId="30" fillId="0" borderId="1" xfId="13" applyFont="1" applyBorder="1"/>
    <xf numFmtId="3" fontId="29" fillId="6" borderId="1" xfId="13" applyNumberFormat="1" applyFont="1" applyFill="1" applyBorder="1"/>
    <xf numFmtId="3" fontId="30" fillId="0" borderId="3" xfId="13" applyNumberFormat="1" applyFont="1" applyBorder="1"/>
    <xf numFmtId="3" fontId="30" fillId="6" borderId="3" xfId="13" applyNumberFormat="1" applyFont="1" applyFill="1" applyBorder="1"/>
    <xf numFmtId="9" fontId="23" fillId="6" borderId="0" xfId="0" applyNumberFormat="1" applyFont="1" applyFill="1" applyBorder="1"/>
    <xf numFmtId="0" fontId="26" fillId="0" borderId="1" xfId="0" applyFont="1" applyBorder="1" applyAlignment="1"/>
    <xf numFmtId="0" fontId="23" fillId="0" borderId="1" xfId="0" applyFont="1" applyBorder="1" applyAlignment="1"/>
    <xf numFmtId="3" fontId="23" fillId="0" borderId="1" xfId="0" applyNumberFormat="1" applyFont="1" applyBorder="1" applyAlignment="1"/>
    <xf numFmtId="3" fontId="29" fillId="7" borderId="0" xfId="13" applyNumberFormat="1" applyFont="1" applyFill="1"/>
    <xf numFmtId="3" fontId="26" fillId="7" borderId="0" xfId="13" applyNumberFormat="1" applyFont="1" applyFill="1" applyAlignment="1">
      <alignment horizontal="right"/>
    </xf>
    <xf numFmtId="3" fontId="29" fillId="7" borderId="1" xfId="13" applyNumberFormat="1" applyFont="1" applyFill="1" applyBorder="1"/>
    <xf numFmtId="3" fontId="30" fillId="7" borderId="3" xfId="13" applyNumberFormat="1" applyFont="1" applyFill="1" applyBorder="1"/>
    <xf numFmtId="0" fontId="23" fillId="0" borderId="0" xfId="24" applyFont="1" applyAlignment="1">
      <alignment vertical="top"/>
    </xf>
    <xf numFmtId="0" fontId="23" fillId="0" borderId="0" xfId="24" applyFont="1" applyAlignment="1"/>
    <xf numFmtId="0" fontId="24" fillId="0" borderId="0" xfId="24" applyFont="1" applyBorder="1" applyAlignment="1">
      <alignment wrapText="1"/>
    </xf>
    <xf numFmtId="0" fontId="48" fillId="0" borderId="0" xfId="24" applyFont="1" applyBorder="1" applyAlignment="1"/>
    <xf numFmtId="0" fontId="30" fillId="0" borderId="0" xfId="13" applyFont="1" applyAlignment="1">
      <alignment vertical="top"/>
    </xf>
    <xf numFmtId="3" fontId="30" fillId="0" borderId="0" xfId="13" applyNumberFormat="1" applyFont="1" applyAlignment="1">
      <alignment vertical="top"/>
    </xf>
    <xf numFmtId="3" fontId="23" fillId="0" borderId="0" xfId="24" applyNumberFormat="1" applyFont="1" applyBorder="1" applyAlignment="1"/>
    <xf numFmtId="0" fontId="45" fillId="0" borderId="0" xfId="13" applyFont="1" applyFill="1" applyAlignment="1">
      <alignment horizontal="right" vertical="top"/>
    </xf>
    <xf numFmtId="0" fontId="23" fillId="0" borderId="0" xfId="13" applyFont="1" applyAlignment="1">
      <alignment vertical="top"/>
    </xf>
    <xf numFmtId="0" fontId="24" fillId="0" borderId="0" xfId="24" applyFont="1" applyBorder="1" applyAlignment="1"/>
    <xf numFmtId="3" fontId="30" fillId="0" borderId="0" xfId="13" applyNumberFormat="1" applyFont="1" applyBorder="1" applyAlignment="1">
      <alignment vertical="top"/>
    </xf>
    <xf numFmtId="3" fontId="29" fillId="7" borderId="0" xfId="13" applyNumberFormat="1" applyFont="1" applyFill="1" applyAlignment="1">
      <alignment vertical="top"/>
    </xf>
    <xf numFmtId="3" fontId="30" fillId="7" borderId="0" xfId="13" applyNumberFormat="1" applyFont="1" applyFill="1" applyBorder="1" applyAlignment="1">
      <alignment vertical="top"/>
    </xf>
    <xf numFmtId="10" fontId="23" fillId="0" borderId="0" xfId="42" applyNumberFormat="1" applyFont="1" applyAlignment="1">
      <alignment vertical="top"/>
    </xf>
    <xf numFmtId="10" fontId="23" fillId="7" borderId="0" xfId="42" applyNumberFormat="1" applyFont="1" applyFill="1" applyAlignment="1">
      <alignment vertical="top"/>
    </xf>
    <xf numFmtId="0" fontId="47" fillId="0" borderId="0" xfId="13" applyFont="1"/>
    <xf numFmtId="3" fontId="47" fillId="0" borderId="0" xfId="13" applyNumberFormat="1" applyFont="1"/>
    <xf numFmtId="3" fontId="45" fillId="0" borderId="0" xfId="13" applyNumberFormat="1" applyFont="1" applyFill="1" applyAlignment="1">
      <alignment horizontal="right"/>
    </xf>
    <xf numFmtId="3" fontId="47" fillId="0" borderId="3" xfId="13" applyNumberFormat="1" applyFont="1" applyBorder="1"/>
    <xf numFmtId="0" fontId="23" fillId="0" borderId="0" xfId="24" applyFont="1" applyAlignment="1">
      <alignment horizontal="left"/>
    </xf>
    <xf numFmtId="0" fontId="24" fillId="0" borderId="0" xfId="24" applyFont="1" applyAlignment="1">
      <alignment horizontal="left"/>
    </xf>
    <xf numFmtId="3" fontId="23" fillId="0" borderId="0" xfId="24" applyNumberFormat="1" applyFont="1" applyAlignment="1"/>
    <xf numFmtId="3" fontId="49" fillId="7" borderId="0" xfId="13" applyNumberFormat="1" applyFont="1" applyFill="1"/>
    <xf numFmtId="3" fontId="47" fillId="7" borderId="3" xfId="13" applyNumberFormat="1" applyFont="1" applyFill="1" applyBorder="1"/>
    <xf numFmtId="10" fontId="47" fillId="0" borderId="0" xfId="42" applyNumberFormat="1" applyFont="1" applyBorder="1"/>
    <xf numFmtId="10" fontId="47" fillId="7" borderId="0" xfId="42" applyNumberFormat="1" applyFont="1" applyFill="1" applyBorder="1"/>
    <xf numFmtId="10" fontId="23" fillId="0" borderId="0" xfId="42" applyNumberFormat="1" applyFont="1" applyFill="1" applyAlignment="1">
      <alignment vertical="top"/>
    </xf>
    <xf numFmtId="167" fontId="24" fillId="8" borderId="11" xfId="0" applyNumberFormat="1" applyFont="1" applyFill="1" applyBorder="1" applyAlignment="1">
      <alignment vertical="top"/>
    </xf>
    <xf numFmtId="3" fontId="24" fillId="7" borderId="11" xfId="24" applyNumberFormat="1" applyFont="1" applyFill="1" applyBorder="1" applyAlignment="1">
      <alignment horizontal="right"/>
    </xf>
    <xf numFmtId="3" fontId="24" fillId="6" borderId="11" xfId="24" applyNumberFormat="1" applyFont="1" applyFill="1" applyBorder="1" applyAlignment="1">
      <alignment horizontal="right"/>
    </xf>
    <xf numFmtId="3" fontId="24" fillId="0" borderId="11" xfId="24" applyNumberFormat="1" applyFont="1" applyFill="1" applyBorder="1" applyAlignment="1">
      <alignment horizontal="right" vertical="top" wrapText="1"/>
    </xf>
    <xf numFmtId="0" fontId="32" fillId="0" borderId="0" xfId="24" applyFont="1" applyBorder="1" applyAlignment="1"/>
    <xf numFmtId="0" fontId="24" fillId="8" borderId="11" xfId="0" applyFont="1" applyFill="1" applyBorder="1" applyAlignment="1">
      <alignment vertical="top"/>
    </xf>
    <xf numFmtId="0" fontId="31" fillId="0" borderId="0" xfId="9" applyFont="1" applyAlignment="1" applyProtection="1">
      <alignment horizontal="left" vertical="top"/>
    </xf>
    <xf numFmtId="3" fontId="23" fillId="0" borderId="0" xfId="12" applyNumberFormat="1" applyFont="1" applyAlignment="1">
      <alignment vertical="top"/>
    </xf>
    <xf numFmtId="3" fontId="28" fillId="0" borderId="0" xfId="12" applyNumberFormat="1" applyFont="1" applyAlignment="1">
      <alignment vertical="top"/>
    </xf>
    <xf numFmtId="3" fontId="28" fillId="0" borderId="0" xfId="12" applyNumberFormat="1" applyFont="1" applyBorder="1" applyAlignment="1">
      <alignment horizontal="right" vertical="top" wrapText="1"/>
    </xf>
    <xf numFmtId="3" fontId="28" fillId="0" borderId="0" xfId="12" applyNumberFormat="1" applyFont="1" applyBorder="1" applyAlignment="1">
      <alignment horizontal="right" vertical="top"/>
    </xf>
    <xf numFmtId="3" fontId="28" fillId="0" borderId="0" xfId="12" applyNumberFormat="1" applyFont="1" applyBorder="1" applyAlignment="1">
      <alignment vertical="top"/>
    </xf>
    <xf numFmtId="3" fontId="28" fillId="0" borderId="0" xfId="12" applyNumberFormat="1" applyFont="1" applyBorder="1" applyAlignment="1">
      <alignment horizontal="center" vertical="top"/>
    </xf>
    <xf numFmtId="3" fontId="24" fillId="7" borderId="0" xfId="12" applyNumberFormat="1" applyFont="1" applyFill="1" applyAlignment="1">
      <alignment vertical="top"/>
    </xf>
    <xf numFmtId="3" fontId="45" fillId="0" borderId="0" xfId="12" applyNumberFormat="1" applyFont="1" applyAlignment="1">
      <alignment vertical="top"/>
    </xf>
    <xf numFmtId="3" fontId="41" fillId="0" borderId="0" xfId="12" applyNumberFormat="1" applyFont="1" applyAlignment="1">
      <alignment vertical="top"/>
    </xf>
    <xf numFmtId="3" fontId="42" fillId="7" borderId="0" xfId="12" applyNumberFormat="1" applyFont="1" applyFill="1" applyAlignment="1">
      <alignment vertical="top"/>
    </xf>
    <xf numFmtId="3" fontId="43" fillId="0" borderId="0" xfId="12" applyNumberFormat="1" applyFont="1" applyAlignment="1">
      <alignment vertical="top"/>
    </xf>
    <xf numFmtId="3" fontId="44" fillId="7" borderId="0" xfId="12" applyNumberFormat="1" applyFont="1" applyFill="1" applyAlignment="1">
      <alignment vertical="top"/>
    </xf>
    <xf numFmtId="3" fontId="23" fillId="0" borderId="0" xfId="12" applyNumberFormat="1" applyFont="1" applyFill="1" applyAlignment="1">
      <alignment vertical="top"/>
    </xf>
    <xf numFmtId="3" fontId="24" fillId="8" borderId="11" xfId="12" applyNumberFormat="1" applyFont="1" applyFill="1" applyBorder="1" applyAlignment="1">
      <alignment vertical="top"/>
    </xf>
    <xf numFmtId="3" fontId="24" fillId="7" borderId="11" xfId="12" applyNumberFormat="1" applyFont="1" applyFill="1" applyBorder="1" applyAlignment="1">
      <alignment vertical="top"/>
    </xf>
    <xf numFmtId="9" fontId="24" fillId="8" borderId="11" xfId="42" applyFont="1" applyFill="1" applyBorder="1" applyAlignment="1">
      <alignment vertical="top"/>
    </xf>
    <xf numFmtId="3" fontId="23" fillId="0" borderId="11" xfId="12" applyNumberFormat="1" applyFont="1" applyBorder="1" applyAlignment="1">
      <alignment vertical="top"/>
    </xf>
    <xf numFmtId="0" fontId="33" fillId="0" borderId="0" xfId="24" applyFont="1" applyBorder="1" applyAlignment="1">
      <alignment horizontal="left" vertical="top"/>
    </xf>
    <xf numFmtId="0" fontId="23" fillId="0" borderId="2" xfId="24" applyFont="1" applyBorder="1" applyAlignment="1">
      <alignment horizontal="left" vertical="top" wrapText="1"/>
    </xf>
    <xf numFmtId="0" fontId="23" fillId="6" borderId="2" xfId="24" applyFont="1" applyFill="1" applyBorder="1" applyAlignment="1">
      <alignment horizontal="left" vertical="top" wrapText="1"/>
    </xf>
    <xf numFmtId="0" fontId="23" fillId="7" borderId="2" xfId="24" applyFont="1" applyFill="1" applyBorder="1" applyAlignment="1">
      <alignment horizontal="left" vertical="top" wrapText="1"/>
    </xf>
    <xf numFmtId="0" fontId="24" fillId="0" borderId="2" xfId="24" applyFont="1" applyBorder="1" applyAlignment="1">
      <alignment horizontal="left" vertical="top" wrapText="1"/>
    </xf>
    <xf numFmtId="0" fontId="23" fillId="0" borderId="0" xfId="24" applyFont="1" applyFill="1" applyBorder="1" applyAlignment="1">
      <alignment horizontal="right" vertical="top" wrapText="1"/>
    </xf>
    <xf numFmtId="3" fontId="28" fillId="0" borderId="0" xfId="12" applyNumberFormat="1" applyFont="1" applyAlignment="1">
      <alignment horizontal="left" vertical="top"/>
    </xf>
    <xf numFmtId="3" fontId="28" fillId="0" borderId="0" xfId="12" applyNumberFormat="1" applyFont="1" applyAlignment="1">
      <alignment horizontal="left"/>
    </xf>
    <xf numFmtId="3" fontId="23" fillId="0" borderId="2" xfId="24" applyNumberFormat="1" applyFont="1" applyBorder="1" applyAlignment="1">
      <alignment horizontal="left" vertical="top" wrapText="1"/>
    </xf>
    <xf numFmtId="3" fontId="23" fillId="6" borderId="2" xfId="24" applyNumberFormat="1" applyFont="1" applyFill="1" applyBorder="1" applyAlignment="1">
      <alignment horizontal="left" vertical="top" wrapText="1"/>
    </xf>
    <xf numFmtId="3" fontId="23" fillId="7" borderId="2" xfId="24" applyNumberFormat="1" applyFont="1" applyFill="1" applyBorder="1" applyAlignment="1">
      <alignment horizontal="left" vertical="top" wrapText="1"/>
    </xf>
    <xf numFmtId="0" fontId="24" fillId="0" borderId="0" xfId="24" applyFont="1" applyBorder="1" applyAlignment="1">
      <alignment horizontal="left" vertical="top" wrapText="1"/>
    </xf>
    <xf numFmtId="0" fontId="23" fillId="3" borderId="0" xfId="0" applyFont="1" applyFill="1" applyBorder="1" applyAlignment="1">
      <alignment vertical="top" wrapText="1"/>
    </xf>
    <xf numFmtId="167" fontId="24" fillId="6" borderId="11" xfId="24" applyNumberFormat="1" applyFont="1" applyFill="1" applyBorder="1" applyAlignment="1">
      <alignment vertical="top" wrapText="1"/>
    </xf>
    <xf numFmtId="167" fontId="24" fillId="0" borderId="11" xfId="1" applyNumberFormat="1" applyFont="1" applyFill="1" applyBorder="1" applyAlignment="1">
      <alignment horizontal="right" vertical="top" wrapText="1"/>
    </xf>
    <xf numFmtId="0" fontId="23" fillId="0" borderId="0" xfId="0" applyFont="1" applyAlignment="1">
      <alignment vertical="top"/>
    </xf>
    <xf numFmtId="0" fontId="24" fillId="0" borderId="1" xfId="0" applyFont="1" applyBorder="1" applyAlignment="1">
      <alignment vertical="top" wrapText="1"/>
    </xf>
    <xf numFmtId="0" fontId="23" fillId="0" borderId="1" xfId="0" applyFont="1" applyBorder="1" applyAlignment="1">
      <alignment vertical="top" wrapText="1"/>
    </xf>
    <xf numFmtId="0" fontId="23" fillId="6" borderId="1" xfId="0" applyFont="1" applyFill="1" applyBorder="1" applyAlignment="1">
      <alignment vertical="top" wrapText="1"/>
    </xf>
    <xf numFmtId="0" fontId="49" fillId="7" borderId="1" xfId="0" applyFont="1" applyFill="1" applyBorder="1" applyAlignment="1">
      <alignment vertical="top" wrapText="1"/>
    </xf>
    <xf numFmtId="0" fontId="23" fillId="3" borderId="2" xfId="0" applyFont="1" applyFill="1" applyBorder="1" applyAlignment="1">
      <alignment vertical="top" wrapText="1"/>
    </xf>
    <xf numFmtId="0" fontId="23" fillId="3" borderId="2" xfId="0" applyFont="1" applyFill="1" applyBorder="1" applyAlignment="1">
      <alignment horizontal="left" vertical="top" wrapText="1"/>
    </xf>
    <xf numFmtId="3" fontId="28" fillId="0" borderId="2" xfId="12" applyNumberFormat="1" applyFont="1" applyBorder="1" applyAlignment="1">
      <alignment horizontal="left" vertical="top"/>
    </xf>
    <xf numFmtId="3" fontId="28" fillId="0" borderId="2" xfId="12" applyNumberFormat="1" applyFont="1" applyBorder="1" applyAlignment="1"/>
    <xf numFmtId="3" fontId="28" fillId="0" borderId="2" xfId="12" applyNumberFormat="1" applyFont="1" applyBorder="1" applyAlignment="1">
      <alignment vertical="top"/>
    </xf>
    <xf numFmtId="3" fontId="23" fillId="0" borderId="2" xfId="12" applyNumberFormat="1" applyFont="1" applyBorder="1" applyAlignment="1">
      <alignment horizontal="left" vertical="top" wrapText="1"/>
    </xf>
    <xf numFmtId="3" fontId="23" fillId="7" borderId="2" xfId="12" applyNumberFormat="1" applyFont="1" applyFill="1" applyBorder="1" applyAlignment="1">
      <alignment horizontal="left" vertical="top"/>
    </xf>
    <xf numFmtId="3" fontId="23" fillId="0" borderId="2" xfId="12" applyNumberFormat="1" applyFont="1" applyBorder="1" applyAlignment="1">
      <alignment horizontal="left" vertical="top"/>
    </xf>
    <xf numFmtId="0" fontId="24" fillId="0" borderId="13" xfId="24" applyFont="1" applyBorder="1" applyAlignment="1">
      <alignment vertical="top" wrapText="1"/>
    </xf>
    <xf numFmtId="0" fontId="23" fillId="0" borderId="13" xfId="24" applyFont="1" applyBorder="1" applyAlignment="1">
      <alignment vertical="top" wrapText="1"/>
    </xf>
    <xf numFmtId="0" fontId="23" fillId="6" borderId="13" xfId="24" applyFont="1" applyFill="1" applyBorder="1" applyAlignment="1">
      <alignment vertical="top" wrapText="1"/>
    </xf>
    <xf numFmtId="0" fontId="23" fillId="0" borderId="13" xfId="24" applyFont="1" applyFill="1" applyBorder="1" applyAlignment="1">
      <alignment vertical="top" wrapText="1"/>
    </xf>
    <xf numFmtId="0" fontId="24" fillId="7" borderId="2" xfId="24" applyFont="1" applyFill="1" applyBorder="1" applyAlignment="1">
      <alignment vertical="top" wrapText="1"/>
    </xf>
    <xf numFmtId="0" fontId="23" fillId="0" borderId="2" xfId="24" applyFont="1" applyBorder="1" applyAlignment="1">
      <alignment vertical="top"/>
    </xf>
    <xf numFmtId="0" fontId="24" fillId="0" borderId="0" xfId="0" applyFont="1" applyBorder="1" applyAlignment="1">
      <alignment vertical="top"/>
    </xf>
    <xf numFmtId="0" fontId="24" fillId="0" borderId="13" xfId="0" applyFont="1" applyBorder="1" applyAlignment="1">
      <alignment horizontal="left" vertical="top" wrapText="1"/>
    </xf>
    <xf numFmtId="0" fontId="23" fillId="3" borderId="2" xfId="0" applyFont="1" applyFill="1" applyBorder="1" applyAlignment="1">
      <alignment horizontal="center" vertical="top" wrapText="1"/>
    </xf>
    <xf numFmtId="0" fontId="24" fillId="0" borderId="13" xfId="0" applyFont="1" applyBorder="1" applyAlignment="1">
      <alignment vertical="top" wrapText="1"/>
    </xf>
    <xf numFmtId="0" fontId="23" fillId="0" borderId="13" xfId="0" applyFont="1" applyBorder="1" applyAlignment="1">
      <alignment vertical="top" wrapText="1"/>
    </xf>
    <xf numFmtId="0" fontId="23" fillId="6" borderId="13" xfId="0" applyFont="1" applyFill="1" applyBorder="1" applyAlignment="1">
      <alignment vertical="top" wrapText="1"/>
    </xf>
    <xf numFmtId="0" fontId="23" fillId="0" borderId="2" xfId="0" applyFont="1" applyBorder="1" applyAlignment="1">
      <alignment vertical="top" wrapText="1"/>
    </xf>
    <xf numFmtId="0" fontId="24" fillId="7" borderId="2" xfId="0" applyFont="1" applyFill="1" applyBorder="1" applyAlignment="1">
      <alignment vertical="top" wrapText="1"/>
    </xf>
    <xf numFmtId="0" fontId="23" fillId="0" borderId="13" xfId="0" applyFont="1" applyBorder="1" applyAlignment="1">
      <alignment horizontal="left" vertical="top" wrapText="1"/>
    </xf>
    <xf numFmtId="0" fontId="23" fillId="6" borderId="13" xfId="0" applyFont="1" applyFill="1" applyBorder="1" applyAlignment="1">
      <alignment horizontal="left" vertical="top" wrapText="1"/>
    </xf>
    <xf numFmtId="0" fontId="23" fillId="6" borderId="2" xfId="0" applyFont="1" applyFill="1" applyBorder="1" applyAlignment="1">
      <alignment horizontal="left" vertical="top" wrapText="1"/>
    </xf>
    <xf numFmtId="0" fontId="23" fillId="0" borderId="2" xfId="0" applyFont="1" applyBorder="1" applyAlignment="1">
      <alignment horizontal="left" vertical="top" wrapText="1"/>
    </xf>
    <xf numFmtId="0" fontId="24" fillId="7" borderId="2" xfId="0" applyFont="1" applyFill="1" applyBorder="1" applyAlignment="1">
      <alignment horizontal="left" vertical="top" wrapText="1"/>
    </xf>
    <xf numFmtId="0" fontId="23" fillId="4" borderId="2" xfId="0" applyFont="1" applyFill="1" applyBorder="1" applyAlignment="1">
      <alignment vertical="top"/>
    </xf>
    <xf numFmtId="0" fontId="24" fillId="0" borderId="2" xfId="0" applyFont="1" applyBorder="1" applyAlignment="1">
      <alignment vertical="top"/>
    </xf>
    <xf numFmtId="0" fontId="23" fillId="6" borderId="2" xfId="0" applyFont="1" applyFill="1" applyBorder="1" applyAlignment="1">
      <alignment vertical="top" wrapText="1"/>
    </xf>
    <xf numFmtId="0" fontId="24" fillId="0" borderId="2" xfId="24" applyFont="1" applyBorder="1" applyAlignment="1">
      <alignment vertical="top"/>
    </xf>
    <xf numFmtId="0" fontId="23" fillId="0" borderId="2" xfId="24" applyFont="1" applyBorder="1" applyAlignment="1">
      <alignment vertical="top" wrapText="1"/>
    </xf>
    <xf numFmtId="0" fontId="23" fillId="0" borderId="0" xfId="0" applyFont="1" applyFill="1" applyBorder="1" applyAlignment="1"/>
    <xf numFmtId="167" fontId="23" fillId="0" borderId="0" xfId="1" applyNumberFormat="1" applyFont="1" applyBorder="1" applyAlignment="1">
      <alignment horizontal="right" vertical="top" wrapText="1"/>
    </xf>
    <xf numFmtId="167" fontId="23" fillId="6" borderId="0" xfId="1" applyNumberFormat="1" applyFont="1" applyFill="1" applyBorder="1" applyAlignment="1">
      <alignment horizontal="right" vertical="top" wrapText="1"/>
    </xf>
    <xf numFmtId="167" fontId="23" fillId="7" borderId="0" xfId="1" applyNumberFormat="1" applyFont="1" applyFill="1" applyBorder="1" applyAlignment="1">
      <alignment horizontal="right" vertical="top" wrapText="1"/>
    </xf>
    <xf numFmtId="0" fontId="24" fillId="8" borderId="11" xfId="0" applyFont="1" applyFill="1" applyBorder="1" applyAlignment="1">
      <alignment horizontal="left"/>
    </xf>
    <xf numFmtId="0" fontId="24" fillId="8" borderId="11" xfId="0" applyFont="1" applyFill="1" applyBorder="1" applyAlignment="1"/>
    <xf numFmtId="3" fontId="24" fillId="8" borderId="11" xfId="0" applyNumberFormat="1" applyFont="1" applyFill="1" applyBorder="1" applyAlignment="1"/>
    <xf numFmtId="10" fontId="24" fillId="8" borderId="11" xfId="42" applyNumberFormat="1" applyFont="1" applyFill="1" applyBorder="1" applyAlignment="1"/>
    <xf numFmtId="3" fontId="23" fillId="7" borderId="0" xfId="0" applyNumberFormat="1" applyFont="1" applyFill="1" applyAlignment="1"/>
    <xf numFmtId="3" fontId="24" fillId="7" borderId="11" xfId="0" applyNumberFormat="1" applyFont="1" applyFill="1" applyBorder="1" applyAlignment="1"/>
    <xf numFmtId="0" fontId="23" fillId="7" borderId="0" xfId="0" applyFont="1" applyFill="1" applyAlignment="1"/>
    <xf numFmtId="3" fontId="24" fillId="0" borderId="0" xfId="0" applyNumberFormat="1" applyFont="1" applyFill="1" applyAlignment="1"/>
    <xf numFmtId="165" fontId="23" fillId="7" borderId="0" xfId="0" applyNumberFormat="1" applyFont="1" applyFill="1" applyBorder="1"/>
    <xf numFmtId="0" fontId="23" fillId="8" borderId="11" xfId="24" applyFont="1" applyFill="1" applyBorder="1" applyAlignment="1">
      <alignment vertical="top"/>
    </xf>
    <xf numFmtId="0" fontId="23" fillId="8" borderId="11" xfId="24" applyFont="1" applyFill="1" applyBorder="1" applyAlignment="1"/>
    <xf numFmtId="0" fontId="23" fillId="0" borderId="0" xfId="0" applyFont="1" applyAlignment="1">
      <alignment horizontal="left" vertical="top" wrapText="1"/>
    </xf>
    <xf numFmtId="0" fontId="23" fillId="4" borderId="0" xfId="0" applyFont="1" applyFill="1" applyBorder="1" applyAlignment="1"/>
    <xf numFmtId="0" fontId="24" fillId="4" borderId="0" xfId="0" applyFont="1" applyFill="1" applyBorder="1" applyAlignment="1"/>
    <xf numFmtId="0" fontId="24" fillId="0" borderId="0" xfId="0" applyFont="1" applyBorder="1" applyAlignment="1"/>
    <xf numFmtId="0" fontId="31" fillId="0" borderId="0" xfId="9" applyFont="1" applyAlignment="1" applyProtection="1"/>
    <xf numFmtId="0" fontId="24" fillId="4" borderId="2" xfId="0" applyFont="1" applyFill="1" applyBorder="1" applyAlignment="1"/>
    <xf numFmtId="3" fontId="23" fillId="7" borderId="0" xfId="24" applyNumberFormat="1" applyFont="1" applyFill="1" applyAlignment="1">
      <alignment vertical="top"/>
    </xf>
    <xf numFmtId="3" fontId="23" fillId="7" borderId="0" xfId="24" applyNumberFormat="1" applyFont="1" applyFill="1" applyAlignment="1"/>
    <xf numFmtId="3" fontId="24" fillId="7" borderId="11" xfId="24" applyNumberFormat="1" applyFont="1" applyFill="1" applyBorder="1" applyAlignment="1"/>
    <xf numFmtId="0" fontId="34" fillId="0" borderId="0" xfId="24" applyFont="1" applyBorder="1" applyAlignment="1">
      <alignment horizontal="left"/>
    </xf>
    <xf numFmtId="0" fontId="35" fillId="0" borderId="0" xfId="24" applyFont="1" applyBorder="1" applyAlignment="1">
      <alignment horizontal="left"/>
    </xf>
    <xf numFmtId="167" fontId="24" fillId="8" borderId="11" xfId="0" applyNumberFormat="1" applyFont="1" applyFill="1" applyBorder="1" applyAlignment="1">
      <alignment horizontal="left" vertical="top"/>
    </xf>
    <xf numFmtId="0" fontId="25" fillId="0" borderId="0" xfId="0" applyFont="1" applyBorder="1" applyAlignment="1"/>
    <xf numFmtId="167" fontId="23" fillId="0" borderId="0" xfId="1" applyNumberFormat="1" applyFont="1"/>
    <xf numFmtId="0" fontId="24" fillId="0" borderId="0" xfId="24" applyFont="1"/>
    <xf numFmtId="165" fontId="23" fillId="0" borderId="0" xfId="24" applyNumberFormat="1" applyFont="1" applyAlignment="1"/>
    <xf numFmtId="1" fontId="23" fillId="0" borderId="0" xfId="24" applyNumberFormat="1" applyFont="1" applyAlignment="1"/>
    <xf numFmtId="165" fontId="23" fillId="0" borderId="0" xfId="24" applyNumberFormat="1" applyFont="1"/>
    <xf numFmtId="1" fontId="23" fillId="0" borderId="0" xfId="24" applyNumberFormat="1" applyFont="1"/>
    <xf numFmtId="0" fontId="23" fillId="0" borderId="1" xfId="24" applyFont="1" applyBorder="1" applyAlignment="1"/>
    <xf numFmtId="0" fontId="23" fillId="0" borderId="1" xfId="24" applyFont="1" applyBorder="1"/>
    <xf numFmtId="0" fontId="23" fillId="0" borderId="1" xfId="24" applyFont="1" applyFill="1" applyBorder="1"/>
    <xf numFmtId="0" fontId="24" fillId="0" borderId="0" xfId="24" applyFont="1" applyAlignment="1"/>
    <xf numFmtId="167" fontId="24" fillId="0" borderId="0" xfId="24" applyNumberFormat="1" applyFont="1" applyAlignment="1"/>
    <xf numFmtId="9" fontId="24" fillId="0" borderId="0" xfId="42" applyFont="1" applyAlignment="1"/>
    <xf numFmtId="167" fontId="24" fillId="0" borderId="0" xfId="24" applyNumberFormat="1" applyFont="1" applyAlignment="1">
      <alignment vertical="top"/>
    </xf>
    <xf numFmtId="9" fontId="24" fillId="0" borderId="0" xfId="42" applyFont="1" applyAlignment="1">
      <alignment vertical="top"/>
    </xf>
    <xf numFmtId="167" fontId="24" fillId="0" borderId="0" xfId="0" applyNumberFormat="1" applyFont="1" applyAlignment="1"/>
    <xf numFmtId="0" fontId="24" fillId="4" borderId="0" xfId="0" applyFont="1" applyFill="1" applyAlignment="1"/>
    <xf numFmtId="167" fontId="24" fillId="0" borderId="0" xfId="1" applyNumberFormat="1" applyFont="1" applyAlignment="1"/>
    <xf numFmtId="0" fontId="7" fillId="0" borderId="0" xfId="9" applyAlignment="1" applyProtection="1">
      <alignment horizontal="left" vertical="top"/>
    </xf>
    <xf numFmtId="0" fontId="5" fillId="5" borderId="1" xfId="21" applyFont="1" applyFill="1" applyBorder="1" applyAlignment="1">
      <alignment horizontal="left"/>
    </xf>
    <xf numFmtId="3" fontId="5" fillId="5" borderId="1" xfId="40" applyNumberFormat="1" applyFont="1" applyFill="1" applyBorder="1" applyAlignment="1"/>
    <xf numFmtId="3" fontId="5" fillId="5" borderId="1" xfId="21" applyNumberFormat="1" applyFont="1" applyFill="1" applyBorder="1" applyAlignment="1"/>
    <xf numFmtId="3" fontId="5" fillId="5" borderId="1" xfId="24" applyNumberFormat="1" applyFill="1" applyBorder="1" applyAlignment="1"/>
    <xf numFmtId="0" fontId="5" fillId="0" borderId="1" xfId="40" applyFont="1" applyFill="1" applyBorder="1" applyAlignment="1">
      <alignment horizontal="left"/>
    </xf>
    <xf numFmtId="3" fontId="5" fillId="0" borderId="1" xfId="40" applyNumberFormat="1" applyFont="1" applyFill="1" applyBorder="1" applyAlignment="1"/>
    <xf numFmtId="3" fontId="5" fillId="0" borderId="1" xfId="21" applyNumberFormat="1" applyFont="1" applyFill="1" applyBorder="1" applyAlignment="1"/>
    <xf numFmtId="3" fontId="5" fillId="0" borderId="1" xfId="24" applyNumberFormat="1" applyFill="1" applyBorder="1" applyAlignment="1"/>
    <xf numFmtId="0" fontId="5" fillId="5" borderId="1" xfId="40" applyFont="1" applyFill="1" applyBorder="1" applyAlignment="1">
      <alignment horizontal="left"/>
    </xf>
    <xf numFmtId="0" fontId="5" fillId="5" borderId="14" xfId="21" applyFont="1" applyFill="1" applyBorder="1" applyAlignment="1">
      <alignment vertical="top" wrapText="1"/>
    </xf>
    <xf numFmtId="0" fontId="5" fillId="5" borderId="6" xfId="21" applyFont="1" applyFill="1" applyBorder="1" applyAlignment="1">
      <alignment vertical="top" shrinkToFit="1"/>
    </xf>
    <xf numFmtId="0" fontId="5" fillId="0" borderId="14" xfId="21" applyFont="1" applyFill="1" applyBorder="1" applyAlignment="1">
      <alignment vertical="top" wrapText="1"/>
    </xf>
    <xf numFmtId="0" fontId="5" fillId="0" borderId="6" xfId="21" applyFont="1" applyFill="1" applyBorder="1" applyAlignment="1">
      <alignment vertical="top" shrinkToFit="1"/>
    </xf>
    <xf numFmtId="167" fontId="24" fillId="0" borderId="0" xfId="24" applyNumberFormat="1" applyFont="1"/>
    <xf numFmtId="1" fontId="23" fillId="0" borderId="0" xfId="42" applyNumberFormat="1" applyFont="1"/>
    <xf numFmtId="10" fontId="24" fillId="8" borderId="11" xfId="0" applyNumberFormat="1" applyFont="1" applyFill="1" applyBorder="1" applyAlignment="1"/>
    <xf numFmtId="9" fontId="24" fillId="0" borderId="0" xfId="42" applyFont="1" applyFill="1" applyAlignment="1"/>
    <xf numFmtId="9" fontId="24" fillId="0" borderId="0" xfId="42" applyFont="1"/>
    <xf numFmtId="0" fontId="36" fillId="0" borderId="0" xfId="9" applyFont="1" applyAlignment="1" applyProtection="1">
      <alignment horizontal="left"/>
    </xf>
    <xf numFmtId="0" fontId="6" fillId="0" borderId="0" xfId="24" applyFont="1" applyAlignment="1"/>
    <xf numFmtId="0" fontId="6" fillId="0" borderId="0" xfId="24" applyFont="1" applyAlignment="1">
      <alignment horizontal="right"/>
    </xf>
    <xf numFmtId="0" fontId="37" fillId="0" borderId="0" xfId="24" applyFont="1" applyBorder="1" applyAlignment="1"/>
    <xf numFmtId="0" fontId="37" fillId="0" borderId="0" xfId="24" applyFont="1" applyBorder="1" applyAlignment="1">
      <alignment horizontal="right"/>
    </xf>
    <xf numFmtId="0" fontId="37" fillId="0" borderId="0" xfId="24" applyFont="1" applyBorder="1" applyAlignment="1">
      <alignment wrapText="1"/>
    </xf>
    <xf numFmtId="0" fontId="37" fillId="0" borderId="0" xfId="24" applyFont="1" applyBorder="1" applyAlignment="1">
      <alignment horizontal="right" wrapText="1"/>
    </xf>
    <xf numFmtId="0" fontId="37" fillId="0" borderId="2" xfId="24" applyFont="1" applyBorder="1" applyAlignment="1">
      <alignment horizontal="left" vertical="top"/>
    </xf>
    <xf numFmtId="0" fontId="6" fillId="0" borderId="2" xfId="24" applyFont="1" applyBorder="1" applyAlignment="1">
      <alignment horizontal="left" vertical="top" wrapText="1"/>
    </xf>
    <xf numFmtId="0" fontId="37" fillId="0" borderId="2" xfId="24" applyFont="1" applyBorder="1" applyAlignment="1">
      <alignment horizontal="left" vertical="top" wrapText="1"/>
    </xf>
    <xf numFmtId="0" fontId="6" fillId="0" borderId="0" xfId="24" applyFont="1" applyBorder="1" applyAlignment="1">
      <alignment horizontal="left" vertical="top"/>
    </xf>
    <xf numFmtId="0" fontId="37" fillId="3" borderId="0" xfId="0" applyFont="1" applyFill="1" applyBorder="1" applyAlignment="1">
      <alignment vertical="top" wrapText="1"/>
    </xf>
    <xf numFmtId="0" fontId="50" fillId="0" borderId="0" xfId="13" applyFont="1" applyAlignment="1"/>
    <xf numFmtId="3" fontId="51" fillId="0" borderId="0" xfId="13" applyNumberFormat="1" applyFont="1" applyAlignment="1">
      <alignment horizontal="right"/>
    </xf>
    <xf numFmtId="3" fontId="51" fillId="0" borderId="0" xfId="13" applyNumberFormat="1" applyFont="1" applyFill="1" applyAlignment="1">
      <alignment horizontal="right"/>
    </xf>
    <xf numFmtId="3" fontId="50" fillId="0" borderId="0" xfId="13" applyNumberFormat="1" applyFont="1" applyAlignment="1">
      <alignment horizontal="right"/>
    </xf>
    <xf numFmtId="0" fontId="6" fillId="0" borderId="0" xfId="24" applyFont="1" applyBorder="1" applyAlignment="1"/>
    <xf numFmtId="3" fontId="6" fillId="0" borderId="0" xfId="24" applyNumberFormat="1" applyFont="1" applyBorder="1" applyAlignment="1"/>
    <xf numFmtId="10" fontId="6" fillId="0" borderId="0" xfId="42" applyNumberFormat="1" applyFont="1" applyBorder="1" applyAlignment="1"/>
    <xf numFmtId="0" fontId="37" fillId="0" borderId="0" xfId="24" applyFont="1" applyBorder="1" applyAlignment="1">
      <alignment horizontal="left"/>
    </xf>
    <xf numFmtId="0" fontId="50" fillId="0" borderId="0" xfId="13" applyFont="1" applyBorder="1" applyAlignment="1"/>
    <xf numFmtId="3" fontId="51" fillId="0" borderId="0" xfId="13" applyNumberFormat="1" applyFont="1" applyBorder="1" applyAlignment="1">
      <alignment horizontal="right"/>
    </xf>
    <xf numFmtId="3" fontId="51" fillId="0" borderId="0" xfId="13" applyNumberFormat="1" applyFont="1" applyFill="1" applyBorder="1" applyAlignment="1">
      <alignment horizontal="right"/>
    </xf>
    <xf numFmtId="3" fontId="50" fillId="0" borderId="0" xfId="13" applyNumberFormat="1" applyFont="1" applyBorder="1" applyAlignment="1">
      <alignment horizontal="right"/>
    </xf>
    <xf numFmtId="10" fontId="51" fillId="0" borderId="0" xfId="42" applyNumberFormat="1" applyFont="1" applyAlignment="1">
      <alignment horizontal="right"/>
    </xf>
    <xf numFmtId="0" fontId="37" fillId="10" borderId="0" xfId="24" applyFont="1" applyFill="1" applyBorder="1" applyAlignment="1">
      <alignment horizontal="left"/>
    </xf>
    <xf numFmtId="3" fontId="50" fillId="10" borderId="0" xfId="13" applyNumberFormat="1" applyFont="1" applyFill="1" applyBorder="1" applyAlignment="1">
      <alignment horizontal="right"/>
    </xf>
    <xf numFmtId="3" fontId="37" fillId="10" borderId="0" xfId="13" applyNumberFormat="1" applyFont="1" applyFill="1" applyBorder="1" applyAlignment="1">
      <alignment horizontal="right"/>
    </xf>
    <xf numFmtId="0" fontId="6" fillId="10" borderId="0" xfId="24" applyFont="1" applyFill="1" applyBorder="1" applyAlignment="1"/>
    <xf numFmtId="3" fontId="37" fillId="10" borderId="0" xfId="24" applyNumberFormat="1" applyFont="1" applyFill="1" applyBorder="1" applyAlignment="1"/>
    <xf numFmtId="10" fontId="37" fillId="10" borderId="0" xfId="24" applyNumberFormat="1" applyFont="1" applyFill="1" applyBorder="1" applyAlignment="1"/>
    <xf numFmtId="0" fontId="6" fillId="0" borderId="0" xfId="24" applyFont="1" applyFill="1" applyBorder="1" applyAlignment="1"/>
    <xf numFmtId="0" fontId="6" fillId="0" borderId="0" xfId="24" applyFont="1" applyBorder="1" applyAlignment="1">
      <alignment horizontal="left"/>
    </xf>
    <xf numFmtId="3" fontId="51" fillId="0" borderId="0" xfId="13" applyNumberFormat="1" applyFont="1" applyBorder="1" applyAlignment="1"/>
    <xf numFmtId="0" fontId="37" fillId="0" borderId="0" xfId="0" applyFont="1" applyFill="1" applyAlignment="1">
      <alignment horizontal="left" vertical="top"/>
    </xf>
    <xf numFmtId="0" fontId="6" fillId="0" borderId="0" xfId="0" applyFont="1" applyFill="1" applyAlignment="1">
      <alignment horizontal="left" vertical="top"/>
    </xf>
    <xf numFmtId="0" fontId="6" fillId="0" borderId="0" xfId="0" applyFont="1" applyFill="1" applyAlignment="1">
      <alignment horizontal="right" vertical="top"/>
    </xf>
    <xf numFmtId="3" fontId="6" fillId="0" borderId="0" xfId="24" applyNumberFormat="1" applyFont="1" applyFill="1" applyAlignment="1">
      <alignment horizontal="right" vertical="top"/>
    </xf>
    <xf numFmtId="10" fontId="6" fillId="0" borderId="0" xfId="42" applyNumberFormat="1" applyFont="1" applyBorder="1" applyAlignment="1">
      <alignment vertical="top"/>
    </xf>
    <xf numFmtId="3" fontId="51" fillId="10" borderId="0" xfId="13" applyNumberFormat="1" applyFont="1" applyFill="1" applyBorder="1" applyAlignment="1"/>
    <xf numFmtId="3" fontId="51" fillId="10" borderId="0" xfId="13" applyNumberFormat="1" applyFont="1" applyFill="1" applyBorder="1" applyAlignment="1">
      <alignment horizontal="right"/>
    </xf>
    <xf numFmtId="3" fontId="37" fillId="10" borderId="0" xfId="0" applyNumberFormat="1" applyFont="1" applyFill="1" applyBorder="1" applyAlignment="1">
      <alignment horizontal="right" vertical="top"/>
    </xf>
    <xf numFmtId="10" fontId="37" fillId="10" borderId="0" xfId="42" applyNumberFormat="1" applyFont="1" applyFill="1" applyBorder="1" applyAlignment="1">
      <alignment horizontal="right" vertical="top"/>
    </xf>
    <xf numFmtId="0" fontId="37" fillId="11" borderId="0" xfId="0" applyFont="1" applyFill="1" applyAlignment="1">
      <alignment horizontal="left"/>
    </xf>
    <xf numFmtId="3" fontId="51" fillId="11" borderId="0" xfId="13" applyNumberFormat="1" applyFont="1" applyFill="1" applyBorder="1" applyAlignment="1"/>
    <xf numFmtId="3" fontId="51" fillId="11" borderId="0" xfId="13" applyNumberFormat="1" applyFont="1" applyFill="1" applyBorder="1" applyAlignment="1">
      <alignment horizontal="right"/>
    </xf>
    <xf numFmtId="3" fontId="50" fillId="11" borderId="0" xfId="13" applyNumberFormat="1" applyFont="1" applyFill="1" applyBorder="1" applyAlignment="1"/>
    <xf numFmtId="0" fontId="37" fillId="11" borderId="0" xfId="24" applyFont="1" applyFill="1" applyBorder="1" applyAlignment="1"/>
    <xf numFmtId="9" fontId="50" fillId="11" borderId="0" xfId="13" applyNumberFormat="1" applyFont="1" applyFill="1" applyBorder="1" applyAlignment="1"/>
    <xf numFmtId="0" fontId="6" fillId="0" borderId="0" xfId="24" applyFont="1" applyAlignment="1">
      <alignment horizontal="left"/>
    </xf>
    <xf numFmtId="167" fontId="6" fillId="0" borderId="0" xfId="1" applyNumberFormat="1" applyFont="1" applyAlignment="1"/>
    <xf numFmtId="167" fontId="37" fillId="3" borderId="0" xfId="1" applyNumberFormat="1" applyFont="1" applyFill="1" applyBorder="1" applyAlignment="1">
      <alignment vertical="top" wrapText="1"/>
    </xf>
    <xf numFmtId="167" fontId="6" fillId="0" borderId="0" xfId="1" applyNumberFormat="1" applyFont="1" applyBorder="1" applyAlignment="1"/>
    <xf numFmtId="167" fontId="51" fillId="0" borderId="0" xfId="1" applyNumberFormat="1" applyFont="1" applyAlignment="1">
      <alignment horizontal="right"/>
    </xf>
    <xf numFmtId="167" fontId="37" fillId="10" borderId="0" xfId="1" applyNumberFormat="1" applyFont="1" applyFill="1" applyBorder="1" applyAlignment="1"/>
    <xf numFmtId="167" fontId="6" fillId="0" borderId="0" xfId="1" applyNumberFormat="1" applyFont="1" applyFill="1" applyAlignment="1">
      <alignment horizontal="right" vertical="top"/>
    </xf>
    <xf numFmtId="167" fontId="37" fillId="10" borderId="0" xfId="1" applyNumberFormat="1" applyFont="1" applyFill="1" applyBorder="1" applyAlignment="1">
      <alignment horizontal="right" vertical="top"/>
    </xf>
    <xf numFmtId="167" fontId="50" fillId="11" borderId="0" xfId="1" applyNumberFormat="1" applyFont="1" applyFill="1" applyBorder="1" applyAlignment="1"/>
    <xf numFmtId="0" fontId="7" fillId="6" borderId="0" xfId="9" quotePrefix="1" applyFill="1" applyAlignment="1" applyProtection="1"/>
    <xf numFmtId="0" fontId="6" fillId="0" borderId="0" xfId="0" applyFont="1" applyAlignment="1"/>
    <xf numFmtId="0" fontId="6" fillId="0" borderId="0" xfId="0" applyFont="1" applyAlignment="1">
      <alignment horizontal="right"/>
    </xf>
    <xf numFmtId="0" fontId="37" fillId="0" borderId="0" xfId="0" applyFont="1" applyBorder="1" applyAlignment="1"/>
    <xf numFmtId="0" fontId="37" fillId="0" borderId="0" xfId="0" applyFont="1" applyBorder="1" applyAlignment="1">
      <alignment horizontal="right"/>
    </xf>
    <xf numFmtId="0" fontId="37" fillId="0" borderId="0" xfId="0" applyFont="1" applyBorder="1" applyAlignment="1">
      <alignment wrapText="1"/>
    </xf>
    <xf numFmtId="0" fontId="37" fillId="0" borderId="0" xfId="0" applyFont="1" applyBorder="1" applyAlignment="1">
      <alignment horizontal="right" wrapText="1"/>
    </xf>
    <xf numFmtId="0" fontId="6" fillId="0" borderId="0" xfId="0" applyFont="1" applyBorder="1" applyAlignment="1"/>
    <xf numFmtId="0" fontId="51" fillId="0" borderId="0" xfId="49" applyFont="1" applyAlignment="1"/>
    <xf numFmtId="3" fontId="51" fillId="0" borderId="0" xfId="49" applyNumberFormat="1" applyFont="1" applyAlignment="1"/>
    <xf numFmtId="3" fontId="51" fillId="0" borderId="0" xfId="49" applyNumberFormat="1" applyFont="1" applyAlignment="1">
      <alignment horizontal="right"/>
    </xf>
    <xf numFmtId="3" fontId="50" fillId="0" borderId="0" xfId="49" applyNumberFormat="1" applyFont="1" applyAlignment="1"/>
    <xf numFmtId="0" fontId="6" fillId="0" borderId="0" xfId="0" applyFont="1" applyBorder="1" applyAlignment="1">
      <alignment horizontal="left"/>
    </xf>
    <xf numFmtId="3" fontId="51" fillId="0" borderId="3" xfId="49" applyNumberFormat="1" applyFont="1" applyBorder="1" applyAlignment="1"/>
    <xf numFmtId="3" fontId="51" fillId="0" borderId="3" xfId="49" applyNumberFormat="1" applyFont="1" applyBorder="1" applyAlignment="1">
      <alignment horizontal="right"/>
    </xf>
    <xf numFmtId="165" fontId="6" fillId="0" borderId="0" xfId="0" applyNumberFormat="1" applyFont="1" applyBorder="1" applyAlignment="1"/>
    <xf numFmtId="0" fontId="6" fillId="0" borderId="0" xfId="0" applyFont="1" applyAlignment="1">
      <alignment horizontal="left"/>
    </xf>
    <xf numFmtId="3" fontId="50" fillId="0" borderId="0" xfId="49" applyNumberFormat="1" applyFont="1" applyBorder="1" applyAlignment="1"/>
    <xf numFmtId="3" fontId="51" fillId="0" borderId="0" xfId="49" applyNumberFormat="1" applyFont="1" applyBorder="1" applyAlignment="1"/>
    <xf numFmtId="3" fontId="51" fillId="0" borderId="0" xfId="49" applyNumberFormat="1" applyFont="1" applyBorder="1" applyAlignment="1">
      <alignment horizontal="right"/>
    </xf>
    <xf numFmtId="0" fontId="51" fillId="0" borderId="0" xfId="49" applyFont="1" applyBorder="1" applyAlignment="1"/>
    <xf numFmtId="0" fontId="37" fillId="0" borderId="2" xfId="0" applyFont="1" applyBorder="1" applyAlignment="1">
      <alignment horizontal="left" vertical="top"/>
    </xf>
    <xf numFmtId="0" fontId="6" fillId="0" borderId="2" xfId="0" applyFont="1" applyBorder="1" applyAlignment="1">
      <alignment horizontal="left" vertical="top" wrapText="1"/>
    </xf>
    <xf numFmtId="0" fontId="37" fillId="0" borderId="2" xfId="0" applyFont="1" applyBorder="1" applyAlignment="1">
      <alignment horizontal="left" vertical="top" wrapText="1"/>
    </xf>
    <xf numFmtId="0" fontId="6" fillId="0" borderId="0" xfId="0" applyFont="1" applyBorder="1" applyAlignment="1">
      <alignment horizontal="left" vertical="top"/>
    </xf>
    <xf numFmtId="0" fontId="37" fillId="3" borderId="2" xfId="0" applyFont="1" applyFill="1" applyBorder="1" applyAlignment="1">
      <alignment horizontal="left" vertical="top" wrapText="1"/>
    </xf>
    <xf numFmtId="167" fontId="37" fillId="3" borderId="2" xfId="1" applyNumberFormat="1" applyFont="1" applyFill="1" applyBorder="1" applyAlignment="1">
      <alignment horizontal="left" vertical="top" wrapText="1"/>
    </xf>
    <xf numFmtId="0" fontId="6" fillId="0" borderId="2" xfId="24" applyFont="1" applyBorder="1" applyAlignment="1">
      <alignment horizontal="left" vertical="top"/>
    </xf>
    <xf numFmtId="0" fontId="37" fillId="0" borderId="0" xfId="0" applyFont="1" applyFill="1" applyAlignment="1">
      <alignment horizontal="left"/>
    </xf>
    <xf numFmtId="0" fontId="37" fillId="10" borderId="1" xfId="0" applyFont="1" applyFill="1" applyBorder="1" applyAlignment="1">
      <alignment horizontal="left"/>
    </xf>
    <xf numFmtId="3" fontId="50" fillId="10" borderId="1" xfId="49" applyNumberFormat="1" applyFont="1" applyFill="1" applyBorder="1" applyAlignment="1"/>
    <xf numFmtId="3" fontId="6" fillId="0" borderId="0" xfId="0" applyNumberFormat="1" applyFont="1" applyBorder="1" applyAlignment="1"/>
    <xf numFmtId="3" fontId="37" fillId="10" borderId="0" xfId="0" applyNumberFormat="1" applyFont="1" applyFill="1" applyBorder="1" applyAlignment="1"/>
    <xf numFmtId="3" fontId="37" fillId="11" borderId="0" xfId="0" applyNumberFormat="1" applyFont="1" applyFill="1" applyAlignment="1"/>
    <xf numFmtId="3" fontId="37" fillId="11" borderId="0" xfId="0" applyNumberFormat="1" applyFont="1" applyFill="1" applyAlignment="1">
      <alignment horizontal="right"/>
    </xf>
    <xf numFmtId="10" fontId="50" fillId="10" borderId="1" xfId="49" applyNumberFormat="1" applyFont="1" applyFill="1" applyBorder="1" applyAlignment="1"/>
    <xf numFmtId="3" fontId="51" fillId="0" borderId="1" xfId="49" applyNumberFormat="1" applyFont="1" applyFill="1" applyBorder="1" applyAlignment="1"/>
    <xf numFmtId="10" fontId="6" fillId="0" borderId="0" xfId="0" applyNumberFormat="1" applyFont="1" applyBorder="1" applyAlignment="1"/>
    <xf numFmtId="10" fontId="37" fillId="10" borderId="0" xfId="0" applyNumberFormat="1" applyFont="1" applyFill="1" applyBorder="1" applyAlignment="1"/>
    <xf numFmtId="10" fontId="37" fillId="11"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Alignment="1"/>
    <xf numFmtId="0" fontId="36" fillId="0" borderId="0" xfId="9" applyFont="1" applyAlignment="1" applyProtection="1"/>
    <xf numFmtId="3" fontId="51" fillId="0" borderId="0" xfId="13" applyNumberFormat="1" applyFont="1" applyAlignment="1"/>
    <xf numFmtId="3" fontId="50" fillId="0" borderId="0" xfId="13" applyNumberFormat="1" applyFont="1" applyAlignment="1"/>
    <xf numFmtId="0" fontId="51" fillId="0" borderId="0" xfId="13" applyFont="1" applyAlignment="1"/>
    <xf numFmtId="3" fontId="50" fillId="0" borderId="0" xfId="13" applyNumberFormat="1" applyFont="1" applyBorder="1" applyAlignment="1"/>
    <xf numFmtId="0" fontId="6" fillId="0" borderId="0" xfId="0" applyFont="1"/>
    <xf numFmtId="0" fontId="37" fillId="0" borderId="0" xfId="0" applyFont="1"/>
    <xf numFmtId="0" fontId="37" fillId="0" borderId="0" xfId="0" applyFont="1" applyAlignment="1">
      <alignment horizontal="right"/>
    </xf>
    <xf numFmtId="0" fontId="37" fillId="0" borderId="0" xfId="0" applyFont="1" applyAlignment="1">
      <alignment wrapText="1"/>
    </xf>
    <xf numFmtId="0" fontId="37" fillId="0" borderId="0" xfId="0" applyFont="1" applyAlignment="1">
      <alignment horizontal="right" wrapText="1"/>
    </xf>
    <xf numFmtId="0" fontId="6" fillId="0" borderId="0" xfId="0" applyFont="1" applyAlignment="1">
      <alignment horizontal="left" vertical="top"/>
    </xf>
    <xf numFmtId="0" fontId="51" fillId="0" borderId="0" xfId="63" applyFont="1"/>
    <xf numFmtId="3" fontId="6" fillId="0" borderId="0" xfId="24" applyNumberFormat="1" applyFont="1"/>
    <xf numFmtId="3" fontId="51" fillId="0" borderId="0" xfId="63" applyNumberFormat="1" applyFont="1"/>
    <xf numFmtId="3" fontId="51" fillId="0" borderId="0" xfId="63" applyNumberFormat="1" applyFont="1" applyAlignment="1">
      <alignment horizontal="right"/>
    </xf>
    <xf numFmtId="3" fontId="50" fillId="0" borderId="0" xfId="63" applyNumberFormat="1" applyFont="1"/>
    <xf numFmtId="3" fontId="50" fillId="10" borderId="1" xfId="63" applyNumberFormat="1" applyFont="1" applyFill="1" applyBorder="1"/>
    <xf numFmtId="10" fontId="50" fillId="10" borderId="1" xfId="63" applyNumberFormat="1" applyFont="1" applyFill="1" applyBorder="1"/>
    <xf numFmtId="3" fontId="51" fillId="0" borderId="1" xfId="63" applyNumberFormat="1" applyFont="1" applyBorder="1"/>
    <xf numFmtId="0" fontId="51" fillId="0" borderId="0" xfId="0" applyFont="1" applyAlignment="1">
      <alignment horizontal="left"/>
    </xf>
    <xf numFmtId="0" fontId="55" fillId="0" borderId="0" xfId="0" applyFont="1"/>
    <xf numFmtId="165" fontId="51" fillId="0" borderId="0" xfId="0" applyNumberFormat="1" applyFont="1"/>
    <xf numFmtId="0" fontId="55" fillId="0" borderId="0" xfId="0" applyFont="1" applyAlignment="1">
      <alignment horizontal="left"/>
    </xf>
    <xf numFmtId="165" fontId="55" fillId="0" borderId="0" xfId="0" applyNumberFormat="1" applyFont="1"/>
    <xf numFmtId="0" fontId="51" fillId="0" borderId="0" xfId="0" applyFont="1" applyAlignment="1">
      <alignment horizontal="left" vertical="top"/>
    </xf>
    <xf numFmtId="3" fontId="51" fillId="0" borderId="0" xfId="0" applyNumberFormat="1" applyFont="1"/>
    <xf numFmtId="167" fontId="51" fillId="0" borderId="0" xfId="1" applyNumberFormat="1" applyFont="1" applyFill="1" applyBorder="1" applyAlignment="1">
      <alignment horizontal="center"/>
    </xf>
    <xf numFmtId="10" fontId="51" fillId="0" borderId="0" xfId="0" applyNumberFormat="1" applyFont="1"/>
    <xf numFmtId="3" fontId="51" fillId="0" borderId="0" xfId="24" applyNumberFormat="1" applyFont="1"/>
    <xf numFmtId="0" fontId="51" fillId="0" borderId="0" xfId="0" applyFont="1"/>
    <xf numFmtId="0" fontId="50" fillId="10" borderId="0" xfId="24" applyFont="1" applyFill="1" applyAlignment="1">
      <alignment horizontal="left"/>
    </xf>
    <xf numFmtId="3" fontId="50" fillId="10" borderId="0" xfId="0" applyNumberFormat="1" applyFont="1" applyFill="1"/>
    <xf numFmtId="10" fontId="50" fillId="10" borderId="0" xfId="0" applyNumberFormat="1" applyFont="1" applyFill="1"/>
    <xf numFmtId="0" fontId="55" fillId="0" borderId="0" xfId="24" applyFont="1" applyAlignment="1">
      <alignment horizontal="left"/>
    </xf>
    <xf numFmtId="3" fontId="55" fillId="0" borderId="0" xfId="0" applyNumberFormat="1" applyFont="1"/>
    <xf numFmtId="0" fontId="50" fillId="11" borderId="0" xfId="0" applyFont="1" applyFill="1" applyAlignment="1">
      <alignment horizontal="left"/>
    </xf>
    <xf numFmtId="3" fontId="50" fillId="11" borderId="0" xfId="0" applyNumberFormat="1" applyFont="1" applyFill="1"/>
    <xf numFmtId="3" fontId="50" fillId="11" borderId="0" xfId="0" applyNumberFormat="1" applyFont="1" applyFill="1" applyAlignment="1">
      <alignment horizontal="right"/>
    </xf>
    <xf numFmtId="10" fontId="50" fillId="11" borderId="0" xfId="0" applyNumberFormat="1" applyFont="1" applyFill="1"/>
    <xf numFmtId="0" fontId="56" fillId="0" borderId="0" xfId="0" applyFont="1" applyAlignment="1">
      <alignment horizontal="left"/>
    </xf>
    <xf numFmtId="0" fontId="55" fillId="0" borderId="0" xfId="0" applyFont="1" applyAlignment="1">
      <alignment horizontal="right"/>
    </xf>
    <xf numFmtId="0" fontId="57" fillId="0" borderId="0" xfId="0" applyFont="1" applyAlignment="1">
      <alignment horizontal="center"/>
    </xf>
    <xf numFmtId="0" fontId="57" fillId="0" borderId="0" xfId="0" applyFont="1" applyAlignment="1">
      <alignment horizontal="center" vertical="center"/>
    </xf>
    <xf numFmtId="0" fontId="57" fillId="0" borderId="0" xfId="0" applyFont="1"/>
    <xf numFmtId="0" fontId="58" fillId="0" borderId="0" xfId="0" applyFont="1" applyAlignment="1">
      <alignment horizontal="left"/>
    </xf>
    <xf numFmtId="0" fontId="58" fillId="0" borderId="0" xfId="0" applyFont="1" applyAlignment="1">
      <alignment horizontal="center" vertical="top" wrapText="1"/>
    </xf>
    <xf numFmtId="0" fontId="58" fillId="0" borderId="0" xfId="24" applyFont="1" applyAlignment="1">
      <alignment horizontal="center" vertical="center" wrapText="1"/>
    </xf>
    <xf numFmtId="0" fontId="57" fillId="0" borderId="0" xfId="0" applyFont="1" applyAlignment="1">
      <alignment vertical="top" wrapText="1"/>
    </xf>
    <xf numFmtId="10" fontId="57" fillId="10" borderId="0" xfId="0" applyNumberFormat="1" applyFont="1" applyFill="1" applyAlignment="1">
      <alignment horizontal="left"/>
    </xf>
    <xf numFmtId="10" fontId="57" fillId="10" borderId="0" xfId="0" applyNumberFormat="1" applyFont="1" applyFill="1" applyAlignment="1">
      <alignment horizontal="center"/>
    </xf>
    <xf numFmtId="10" fontId="57" fillId="15" borderId="0" xfId="0" applyNumberFormat="1" applyFont="1" applyFill="1" applyAlignment="1">
      <alignment horizontal="left"/>
    </xf>
    <xf numFmtId="10" fontId="57" fillId="15" borderId="0" xfId="0" applyNumberFormat="1" applyFont="1" applyFill="1" applyAlignment="1">
      <alignment horizontal="center"/>
    </xf>
    <xf numFmtId="10" fontId="57" fillId="12" borderId="0" xfId="0" applyNumberFormat="1" applyFont="1" applyFill="1" applyAlignment="1">
      <alignment horizontal="left"/>
    </xf>
    <xf numFmtId="10" fontId="57" fillId="12" borderId="0" xfId="0" applyNumberFormat="1" applyFont="1" applyFill="1" applyAlignment="1">
      <alignment horizontal="center"/>
    </xf>
    <xf numFmtId="165" fontId="57" fillId="12" borderId="0" xfId="42" applyNumberFormat="1" applyFont="1" applyFill="1" applyAlignment="1">
      <alignment horizontal="left"/>
    </xf>
    <xf numFmtId="165" fontId="57" fillId="12" borderId="0" xfId="42" applyNumberFormat="1" applyFont="1" applyFill="1" applyAlignment="1">
      <alignment horizontal="center"/>
    </xf>
    <xf numFmtId="165" fontId="57" fillId="13" borderId="0" xfId="42" applyNumberFormat="1" applyFont="1" applyFill="1" applyAlignment="1">
      <alignment horizontal="left"/>
    </xf>
    <xf numFmtId="165" fontId="57" fillId="13" borderId="0" xfId="42" applyNumberFormat="1" applyFont="1" applyFill="1" applyAlignment="1">
      <alignment horizontal="center"/>
    </xf>
    <xf numFmtId="10" fontId="57" fillId="13" borderId="0" xfId="0" applyNumberFormat="1" applyFont="1" applyFill="1" applyAlignment="1">
      <alignment horizontal="center"/>
    </xf>
    <xf numFmtId="165" fontId="57" fillId="14" borderId="0" xfId="42" applyNumberFormat="1" applyFont="1" applyFill="1" applyAlignment="1">
      <alignment horizontal="left"/>
    </xf>
    <xf numFmtId="165" fontId="57" fillId="14" borderId="0" xfId="42" applyNumberFormat="1" applyFont="1" applyFill="1" applyAlignment="1">
      <alignment horizontal="center"/>
    </xf>
    <xf numFmtId="10" fontId="57" fillId="14" borderId="0" xfId="0" applyNumberFormat="1" applyFont="1" applyFill="1" applyAlignment="1">
      <alignment horizontal="center"/>
    </xf>
    <xf numFmtId="165" fontId="57" fillId="9" borderId="0" xfId="42" applyNumberFormat="1" applyFont="1" applyFill="1" applyAlignment="1">
      <alignment horizontal="left"/>
    </xf>
    <xf numFmtId="165" fontId="57" fillId="9" borderId="0" xfId="42" applyNumberFormat="1" applyFont="1" applyFill="1" applyAlignment="1">
      <alignment horizontal="center"/>
    </xf>
    <xf numFmtId="10" fontId="57" fillId="9" borderId="0" xfId="0" applyNumberFormat="1" applyFont="1" applyFill="1" applyAlignment="1">
      <alignment horizontal="center"/>
    </xf>
    <xf numFmtId="165" fontId="57" fillId="5" borderId="0" xfId="42" applyNumberFormat="1" applyFont="1" applyFill="1" applyAlignment="1">
      <alignment horizontal="left"/>
    </xf>
    <xf numFmtId="165" fontId="57" fillId="5" borderId="0" xfId="42" applyNumberFormat="1" applyFont="1" applyFill="1" applyAlignment="1">
      <alignment horizontal="center"/>
    </xf>
    <xf numFmtId="10" fontId="57" fillId="5" borderId="0" xfId="0" applyNumberFormat="1" applyFont="1" applyFill="1" applyAlignment="1">
      <alignment horizontal="center"/>
    </xf>
    <xf numFmtId="0" fontId="57" fillId="0" borderId="0" xfId="0" applyFont="1" applyAlignment="1">
      <alignment horizontal="left"/>
    </xf>
    <xf numFmtId="0" fontId="7" fillId="0" borderId="0" xfId="9" quotePrefix="1" applyFill="1" applyAlignment="1" applyProtection="1"/>
    <xf numFmtId="0" fontId="57" fillId="13" borderId="0" xfId="42" applyNumberFormat="1" applyFont="1" applyFill="1" applyAlignment="1">
      <alignment horizontal="center" vertical="center"/>
    </xf>
    <xf numFmtId="0" fontId="57" fillId="0" borderId="0" xfId="42" applyNumberFormat="1" applyFont="1" applyFill="1" applyAlignment="1">
      <alignment horizontal="center" vertical="center"/>
    </xf>
    <xf numFmtId="0" fontId="57" fillId="5" borderId="0" xfId="42" applyNumberFormat="1" applyFont="1" applyFill="1" applyAlignment="1">
      <alignment horizontal="center" vertical="center"/>
    </xf>
    <xf numFmtId="0" fontId="57" fillId="14" borderId="0" xfId="42" applyNumberFormat="1" applyFont="1" applyFill="1" applyAlignment="1">
      <alignment horizontal="center" vertical="center"/>
    </xf>
    <xf numFmtId="0" fontId="57" fillId="9" borderId="0" xfId="42" applyNumberFormat="1" applyFont="1" applyFill="1" applyAlignment="1">
      <alignment horizontal="center" vertical="center"/>
    </xf>
    <xf numFmtId="0" fontId="57" fillId="10" borderId="0" xfId="42" applyNumberFormat="1" applyFont="1" applyFill="1" applyAlignment="1">
      <alignment horizontal="center" vertical="center"/>
    </xf>
    <xf numFmtId="0" fontId="57" fillId="15" borderId="0" xfId="42" applyNumberFormat="1" applyFont="1" applyFill="1" applyAlignment="1">
      <alignment horizontal="center" vertical="center"/>
    </xf>
    <xf numFmtId="0" fontId="57" fillId="12" borderId="0" xfId="42" applyNumberFormat="1" applyFont="1" applyFill="1" applyAlignment="1">
      <alignment horizontal="center" vertical="center"/>
    </xf>
    <xf numFmtId="0" fontId="8" fillId="0" borderId="0" xfId="0" applyFont="1" applyBorder="1" applyAlignment="1">
      <alignment wrapText="1"/>
    </xf>
    <xf numFmtId="0" fontId="20" fillId="0" borderId="15" xfId="0" applyFont="1" applyBorder="1" applyAlignment="1">
      <alignment horizontal="center"/>
    </xf>
    <xf numFmtId="0" fontId="20" fillId="0" borderId="11" xfId="0" applyFont="1" applyBorder="1" applyAlignment="1">
      <alignment horizontal="center"/>
    </xf>
    <xf numFmtId="0" fontId="20" fillId="0" borderId="16" xfId="0" applyFont="1" applyBorder="1" applyAlignment="1">
      <alignment horizontal="center"/>
    </xf>
    <xf numFmtId="0" fontId="5" fillId="0" borderId="3" xfId="40" applyFont="1" applyBorder="1" applyAlignment="1">
      <alignment horizontal="left" vertical="center"/>
    </xf>
    <xf numFmtId="0" fontId="5" fillId="0" borderId="1" xfId="40" applyFont="1" applyBorder="1" applyAlignment="1">
      <alignment horizontal="left" vertical="center"/>
    </xf>
    <xf numFmtId="0" fontId="5" fillId="0" borderId="14" xfId="40" applyFont="1" applyBorder="1" applyAlignment="1">
      <alignment horizontal="center" vertical="center"/>
    </xf>
    <xf numFmtId="0" fontId="5" fillId="0" borderId="2" xfId="40" applyFont="1" applyBorder="1" applyAlignment="1">
      <alignment horizontal="center" vertical="center"/>
    </xf>
    <xf numFmtId="0" fontId="5" fillId="0" borderId="17" xfId="33" applyFont="1" applyBorder="1" applyAlignment="1">
      <alignment horizontal="left" vertical="top" wrapText="1"/>
    </xf>
    <xf numFmtId="0" fontId="5" fillId="0" borderId="0" xfId="33" applyFont="1" applyBorder="1" applyAlignment="1">
      <alignment horizontal="left" vertical="top" wrapText="1"/>
    </xf>
    <xf numFmtId="0" fontId="5" fillId="0" borderId="3" xfId="33" applyFont="1" applyBorder="1" applyAlignment="1">
      <alignment horizontal="left" vertical="top" wrapText="1"/>
    </xf>
    <xf numFmtId="0" fontId="21" fillId="0" borderId="0" xfId="33" applyAlignment="1">
      <alignment horizontal="left" vertical="top" wrapText="1"/>
    </xf>
    <xf numFmtId="0" fontId="21" fillId="0" borderId="12" xfId="33" applyBorder="1" applyAlignment="1">
      <alignment horizontal="left" vertical="top" wrapText="1"/>
    </xf>
    <xf numFmtId="0" fontId="21" fillId="0" borderId="1" xfId="33" applyBorder="1" applyAlignment="1">
      <alignment horizontal="left" vertical="top" wrapText="1"/>
    </xf>
    <xf numFmtId="0" fontId="5" fillId="0" borderId="1" xfId="33" applyFont="1" applyBorder="1" applyAlignment="1">
      <alignment horizontal="left" vertical="top" wrapText="1"/>
    </xf>
    <xf numFmtId="0" fontId="5" fillId="0" borderId="3" xfId="40" applyFont="1" applyBorder="1" applyAlignment="1">
      <alignment horizontal="left" vertical="top"/>
    </xf>
    <xf numFmtId="0" fontId="5" fillId="0" borderId="0" xfId="40" applyFont="1" applyBorder="1" applyAlignment="1">
      <alignment horizontal="left" vertical="top"/>
    </xf>
    <xf numFmtId="0" fontId="5" fillId="0" borderId="1" xfId="40" applyFont="1" applyBorder="1" applyAlignment="1">
      <alignment horizontal="left" vertical="top"/>
    </xf>
    <xf numFmtId="0" fontId="24" fillId="0" borderId="0" xfId="24" applyFont="1" applyBorder="1" applyAlignment="1">
      <alignment vertical="top" wrapText="1"/>
    </xf>
    <xf numFmtId="0" fontId="24" fillId="0" borderId="1" xfId="0" applyFont="1" applyBorder="1" applyAlignment="1">
      <alignment wrapText="1"/>
    </xf>
    <xf numFmtId="0" fontId="24" fillId="0" borderId="0" xfId="0" applyFont="1" applyBorder="1" applyAlignment="1">
      <alignment wrapText="1"/>
    </xf>
    <xf numFmtId="0" fontId="24" fillId="0" borderId="0" xfId="24" applyFont="1" applyBorder="1" applyAlignment="1">
      <alignment wrapText="1"/>
    </xf>
    <xf numFmtId="0" fontId="0" fillId="0" borderId="0" xfId="0" applyAlignment="1">
      <alignment horizontal="center" vertical="center"/>
    </xf>
  </cellXfs>
  <cellStyles count="66">
    <cellStyle name="Comma" xfId="1" builtinId="3"/>
    <cellStyle name="Comma 2" xfId="47" xr:uid="{00000000-0005-0000-0000-000001000000}"/>
    <cellStyle name="Comma 2 2" xfId="62" xr:uid="{00000000-0005-0000-0000-000002000000}"/>
    <cellStyle name="Comma 3" xfId="50" xr:uid="{00000000-0005-0000-0000-000003000000}"/>
    <cellStyle name="Currency 2 2" xfId="2" xr:uid="{00000000-0005-0000-0000-000004000000}"/>
    <cellStyle name="Currency 2 2 2" xfId="51" xr:uid="{00000000-0005-0000-0000-000005000000}"/>
    <cellStyle name="Currency 2 3" xfId="3" xr:uid="{00000000-0005-0000-0000-000006000000}"/>
    <cellStyle name="Currency 2 3 2" xfId="52" xr:uid="{00000000-0005-0000-0000-000007000000}"/>
    <cellStyle name="Currency 2 4" xfId="4" xr:uid="{00000000-0005-0000-0000-000008000000}"/>
    <cellStyle name="Currency 2 4 2" xfId="53" xr:uid="{00000000-0005-0000-0000-000009000000}"/>
    <cellStyle name="Currency 2 5" xfId="5" xr:uid="{00000000-0005-0000-0000-00000A000000}"/>
    <cellStyle name="Currency 2 5 2" xfId="54" xr:uid="{00000000-0005-0000-0000-00000B000000}"/>
    <cellStyle name="Currency 2 6" xfId="6" xr:uid="{00000000-0005-0000-0000-00000C000000}"/>
    <cellStyle name="Currency 2 6 2" xfId="55" xr:uid="{00000000-0005-0000-0000-00000D000000}"/>
    <cellStyle name="Currency 2 7" xfId="7" xr:uid="{00000000-0005-0000-0000-00000E000000}"/>
    <cellStyle name="Currency 2 7 2" xfId="56" xr:uid="{00000000-0005-0000-0000-00000F000000}"/>
    <cellStyle name="Currency 2 8" xfId="8" xr:uid="{00000000-0005-0000-0000-000010000000}"/>
    <cellStyle name="Currency 2 8 2" xfId="57" xr:uid="{00000000-0005-0000-0000-000011000000}"/>
    <cellStyle name="Hyperlink" xfId="9" builtinId="8"/>
    <cellStyle name="Hyperlink 2" xfId="10" xr:uid="{00000000-0005-0000-0000-000013000000}"/>
    <cellStyle name="Hyperlink 2 2" xfId="58" xr:uid="{00000000-0005-0000-0000-000014000000}"/>
    <cellStyle name="Hyperlink 3" xfId="48" xr:uid="{00000000-0005-0000-0000-000015000000}"/>
    <cellStyle name="Normal" xfId="0" builtinId="0"/>
    <cellStyle name="Normal 10" xfId="11" xr:uid="{00000000-0005-0000-0000-000017000000}"/>
    <cellStyle name="Normal 11" xfId="12" xr:uid="{00000000-0005-0000-0000-000018000000}"/>
    <cellStyle name="Normal 12" xfId="46" xr:uid="{00000000-0005-0000-0000-000019000000}"/>
    <cellStyle name="Normal 12 2" xfId="61" xr:uid="{00000000-0005-0000-0000-00001A000000}"/>
    <cellStyle name="Normal 2" xfId="13" xr:uid="{00000000-0005-0000-0000-00001B000000}"/>
    <cellStyle name="Normal 2 10" xfId="49" xr:uid="{00000000-0005-0000-0000-00001C000000}"/>
    <cellStyle name="Normal 2 10 2" xfId="63" xr:uid="{00000000-0005-0000-0000-00001D000000}"/>
    <cellStyle name="Normal 2 11" xfId="59" xr:uid="{00000000-0005-0000-0000-00001E000000}"/>
    <cellStyle name="Normal 2 12" xfId="64" xr:uid="{D652A3E9-8ACC-6448-9E7F-CD3804E6622A}"/>
    <cellStyle name="Normal 2 13" xfId="65" xr:uid="{C09C5D00-39E2-4EED-B4A4-C61F50666F78}"/>
    <cellStyle name="Normal 2 2" xfId="14" xr:uid="{00000000-0005-0000-0000-00001F000000}"/>
    <cellStyle name="Normal 2 3" xfId="15" xr:uid="{00000000-0005-0000-0000-000020000000}"/>
    <cellStyle name="Normal 2 4" xfId="16" xr:uid="{00000000-0005-0000-0000-000021000000}"/>
    <cellStyle name="Normal 2 5" xfId="17" xr:uid="{00000000-0005-0000-0000-000022000000}"/>
    <cellStyle name="Normal 2 6" xfId="18" xr:uid="{00000000-0005-0000-0000-000023000000}"/>
    <cellStyle name="Normal 2 7" xfId="19" xr:uid="{00000000-0005-0000-0000-000024000000}"/>
    <cellStyle name="Normal 2 8" xfId="20" xr:uid="{00000000-0005-0000-0000-000025000000}"/>
    <cellStyle name="Normal 2 9" xfId="21" xr:uid="{00000000-0005-0000-0000-000026000000}"/>
    <cellStyle name="Normal 2_wb2010quote-percentage" xfId="22" xr:uid="{00000000-0005-0000-0000-000027000000}"/>
    <cellStyle name="Normal 3" xfId="23" xr:uid="{00000000-0005-0000-0000-000028000000}"/>
    <cellStyle name="Normal 3 2" xfId="24" xr:uid="{00000000-0005-0000-0000-000029000000}"/>
    <cellStyle name="Normal 3 3" xfId="25" xr:uid="{00000000-0005-0000-0000-00002A000000}"/>
    <cellStyle name="Normal 3 4" xfId="26" xr:uid="{00000000-0005-0000-0000-00002B000000}"/>
    <cellStyle name="Normal 3 5" xfId="27" xr:uid="{00000000-0005-0000-0000-00002C000000}"/>
    <cellStyle name="Normal 3 6" xfId="28" xr:uid="{00000000-0005-0000-0000-00002D000000}"/>
    <cellStyle name="Normal 3 7" xfId="29" xr:uid="{00000000-0005-0000-0000-00002E000000}"/>
    <cellStyle name="Normal 3 8" xfId="30" xr:uid="{00000000-0005-0000-0000-00002F000000}"/>
    <cellStyle name="Normal 3_wb2010quote-percentage" xfId="31" xr:uid="{00000000-0005-0000-0000-000030000000}"/>
    <cellStyle name="Normal 4" xfId="32" xr:uid="{00000000-0005-0000-0000-000031000000}"/>
    <cellStyle name="Normal 4 2" xfId="33" xr:uid="{00000000-0005-0000-0000-000032000000}"/>
    <cellStyle name="Normal 5" xfId="34" xr:uid="{00000000-0005-0000-0000-000033000000}"/>
    <cellStyle name="Normal 6" xfId="35" xr:uid="{00000000-0005-0000-0000-000034000000}"/>
    <cellStyle name="Normal 7" xfId="36" xr:uid="{00000000-0005-0000-0000-000035000000}"/>
    <cellStyle name="Normal 8" xfId="37" xr:uid="{00000000-0005-0000-0000-000036000000}"/>
    <cellStyle name="Normal 9" xfId="38" xr:uid="{00000000-0005-0000-0000-000037000000}"/>
    <cellStyle name="Normal_Chapter 3 Appendix Tables" xfId="39" xr:uid="{00000000-0005-0000-0000-000038000000}"/>
    <cellStyle name="Normal_sttables" xfId="40" xr:uid="{00000000-0005-0000-0000-000039000000}"/>
    <cellStyle name="Normal_Tables_tertiary tables" xfId="41" xr:uid="{00000000-0005-0000-0000-00003A000000}"/>
    <cellStyle name="Percent" xfId="42" builtinId="5"/>
    <cellStyle name="Percent 2" xfId="43" xr:uid="{00000000-0005-0000-0000-00003C000000}"/>
    <cellStyle name="Percent 2 2" xfId="44" xr:uid="{00000000-0005-0000-0000-00003D000000}"/>
    <cellStyle name="Percent 2 3" xfId="60" xr:uid="{00000000-0005-0000-0000-00003E000000}"/>
    <cellStyle name="Percent 3" xfId="45" xr:uid="{00000000-0005-0000-0000-00003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http://www.deewr.gov.au/HigherEducation/Publications/HEStatistics/Publications/Documents/2010/higher-education-providers-state-type2010.xls" TargetMode="External"/><Relationship Id="rId4" Type="http://schemas.openxmlformats.org/officeDocument/2006/relationships/comments" Target="../comments3.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bin"/><Relationship Id="rId1" Type="http://schemas.openxmlformats.org/officeDocument/2006/relationships/hyperlink" Target="http://www.deewr.gov.au/HigherEducation/Publications/HEStatistics/Publications/Documents/2010/higher-education-providers-state-type2010.x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workbookViewId="0">
      <selection activeCell="A28" sqref="A28"/>
    </sheetView>
  </sheetViews>
  <sheetFormatPr defaultColWidth="8.85546875" defaultRowHeight="12.75"/>
  <cols>
    <col min="1" max="1" width="31.7109375" customWidth="1"/>
  </cols>
  <sheetData>
    <row r="1" spans="1:1">
      <c r="A1" s="27" t="s">
        <v>270</v>
      </c>
    </row>
    <row r="2" spans="1:1">
      <c r="A2" s="186" t="s">
        <v>271</v>
      </c>
    </row>
    <row r="3" spans="1:1">
      <c r="A3" s="186" t="s">
        <v>305</v>
      </c>
    </row>
    <row r="4" spans="1:1">
      <c r="A4" s="186" t="s">
        <v>272</v>
      </c>
    </row>
    <row r="5" spans="1:1">
      <c r="A5" s="186" t="s">
        <v>273</v>
      </c>
    </row>
    <row r="6" spans="1:1">
      <c r="A6" s="186" t="s">
        <v>274</v>
      </c>
    </row>
    <row r="7" spans="1:1">
      <c r="A7" s="186" t="s">
        <v>275</v>
      </c>
    </row>
    <row r="8" spans="1:1">
      <c r="A8" s="186" t="s">
        <v>276</v>
      </c>
    </row>
    <row r="9" spans="1:1">
      <c r="A9" s="186" t="s">
        <v>277</v>
      </c>
    </row>
    <row r="10" spans="1:1">
      <c r="A10" s="186" t="s">
        <v>278</v>
      </c>
    </row>
    <row r="11" spans="1:1">
      <c r="A11" s="186" t="s">
        <v>279</v>
      </c>
    </row>
    <row r="12" spans="1:1">
      <c r="A12" s="186" t="s">
        <v>280</v>
      </c>
    </row>
    <row r="13" spans="1:1">
      <c r="A13" s="186" t="s">
        <v>281</v>
      </c>
    </row>
    <row r="14" spans="1:1">
      <c r="A14" s="186" t="s">
        <v>282</v>
      </c>
    </row>
    <row r="15" spans="1:1">
      <c r="A15" s="186" t="s">
        <v>283</v>
      </c>
    </row>
    <row r="16" spans="1:1">
      <c r="A16" s="186" t="s">
        <v>284</v>
      </c>
    </row>
    <row r="17" spans="1:1">
      <c r="A17" s="186" t="s">
        <v>285</v>
      </c>
    </row>
    <row r="18" spans="1:1">
      <c r="A18" s="186" t="s">
        <v>333</v>
      </c>
    </row>
    <row r="19" spans="1:1">
      <c r="A19" s="186" t="s">
        <v>334</v>
      </c>
    </row>
    <row r="20" spans="1:1">
      <c r="A20" s="186" t="s">
        <v>343</v>
      </c>
    </row>
    <row r="21" spans="1:1">
      <c r="A21" s="186" t="s">
        <v>344</v>
      </c>
    </row>
    <row r="22" spans="1:1">
      <c r="A22" s="186" t="s">
        <v>348</v>
      </c>
    </row>
    <row r="23" spans="1:1">
      <c r="A23" s="186" t="s">
        <v>353</v>
      </c>
    </row>
    <row r="24" spans="1:1">
      <c r="A24" s="186"/>
    </row>
    <row r="25" spans="1:1">
      <c r="A25" s="186"/>
    </row>
    <row r="26" spans="1:1">
      <c r="A26" s="600" t="s">
        <v>351</v>
      </c>
    </row>
    <row r="27" spans="1:1">
      <c r="A27" s="600" t="s">
        <v>354</v>
      </c>
    </row>
  </sheetData>
  <hyperlinks>
    <hyperlink ref="A1" location="DEEWR2010Table4.1!Print_Area" display="DEEWR2010Table4.1" xr:uid="{00000000-0004-0000-0000-000000000000}"/>
    <hyperlink ref="A2" location="'NZ EFT08-2011'!A1" display="'NZ EFT08-2011" xr:uid="{00000000-0004-0000-0000-000001000000}"/>
    <hyperlink ref="A3" location="'NZ EFT.35 2006-13'!A1" display="NZ EFT.35 2006-13" xr:uid="{00000000-0004-0000-0000-000002000000}"/>
    <hyperlink ref="A4" location="'EFT2006-13(NZ)'!A1" display="'EFT2006-13(NZ)" xr:uid="{00000000-0004-0000-0000-000003000000}"/>
    <hyperlink ref="A5" location="'Tbl 9 1996'!A1" display="'Tbl 9 1996" xr:uid="{00000000-0004-0000-0000-000004000000}"/>
    <hyperlink ref="A6" location="'Tbl 49 2001'!A1" display="'Tbl 49 2001" xr:uid="{00000000-0004-0000-0000-000005000000}"/>
    <hyperlink ref="A7" location="'Tbl 37 2002'!A1" display="'Tbl 37 2002" xr:uid="{00000000-0004-0000-0000-000006000000}"/>
    <hyperlink ref="A8" location="'Tbl 35 2003'!A1" display="'Tbl 35 2003" xr:uid="{00000000-0004-0000-0000-000007000000}"/>
    <hyperlink ref="A9" location="'Tbl 35 2004'!A1" display="'Tbl 35 2004" xr:uid="{00000000-0004-0000-0000-000008000000}"/>
    <hyperlink ref="A10" location="'Tbl 35 2005'!A1" display="'Tbl 35 2005" xr:uid="{00000000-0004-0000-0000-000009000000}"/>
    <hyperlink ref="A11" location="'Tbl 35 2006'!A1" display="'Tbl 35 2006" xr:uid="{00000000-0004-0000-0000-00000A000000}"/>
    <hyperlink ref="A12" location="'Tbl 35 2007'!A1" display="'Tbl 35 2007" xr:uid="{00000000-0004-0000-0000-00000B000000}"/>
    <hyperlink ref="A13" location="'Tbl 35 2008'!A1" display="'Tbl 35 2008" xr:uid="{00000000-0004-0000-0000-00000C000000}"/>
    <hyperlink ref="A14" location="'Tbl 4.1 2009'!A1" display="'Tbl 4.1 2009" xr:uid="{00000000-0004-0000-0000-00000D000000}"/>
    <hyperlink ref="A15" location="'Table 4.1 2010'!A1" display="'Table 4.1 2010" xr:uid="{00000000-0004-0000-0000-00000E000000}"/>
    <hyperlink ref="A16" location="'Table 4.1 2011'!A1" display="'Table 4.1 2011" xr:uid="{00000000-0004-0000-0000-00000F000000}"/>
    <hyperlink ref="A17" location="'Table 4.1 2012 '!A1" display="'Table 4.1 2012" xr:uid="{00000000-0004-0000-0000-000010000000}"/>
    <hyperlink ref="A18" location="'Table 4.1 2013'!Print_Area" display="Table 4.2 2013" xr:uid="{00000000-0004-0000-0000-000011000000}"/>
    <hyperlink ref="A19" location="'Table 4.1 2016'!A1" display="Table 4.1 2016" xr:uid="{00000000-0004-0000-0000-000013000000}"/>
    <hyperlink ref="A20" location="'Table 4.1 2017'!Print_Titles" display="Table 4.1 2017" xr:uid="{00000000-0004-0000-0000-000014000000}"/>
    <hyperlink ref="A21" location="'Table 4.1 2018'!Print_Titles" display="Table 4.1 2018" xr:uid="{00000000-0004-0000-0000-000015000000}"/>
    <hyperlink ref="A22" location="'Table 4.1 2019'!A1" display="Table 4.1 2019" xr:uid="{99D1BB03-53C5-CF4F-A56C-CD4F089891DA}"/>
    <hyperlink ref="A23" location="'Table 4.1 2020'!A1" display="Table 4.1 2020" xr:uid="{42861DC2-1BF7-4CF9-AEE9-6F065BD77FAC}"/>
    <hyperlink ref="A27" location="'Ave weight 2019-2020'!A1" display="Ave weight 2019-2020" xr:uid="{00000000-0004-0000-0000-000012000000}"/>
    <hyperlink ref="A26" location="'Ave weight 2018-2019'!A1" display="Ave weight 2019-2020" xr:uid="{75683DAD-B850-4371-AFB7-27F745A6F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pane xSplit="1" ySplit="3" topLeftCell="E4" activePane="bottomRight" state="frozen"/>
      <selection pane="topRight" activeCell="B1" sqref="B1"/>
      <selection pane="bottomLeft" activeCell="A4" sqref="A4"/>
      <selection pane="bottomRight" activeCell="U1" sqref="U1"/>
    </sheetView>
  </sheetViews>
  <sheetFormatPr defaultColWidth="9.140625" defaultRowHeight="11.25"/>
  <cols>
    <col min="1" max="1" width="24.7109375" style="152" customWidth="1"/>
    <col min="2" max="2" width="8.7109375" style="152" bestFit="1" customWidth="1"/>
    <col min="3" max="3" width="8.42578125" style="152" customWidth="1"/>
    <col min="4" max="4" width="7.7109375" style="152" customWidth="1"/>
    <col min="5" max="5" width="8.42578125" style="152" customWidth="1"/>
    <col min="6" max="7" width="9.28515625" style="152" customWidth="1"/>
    <col min="8" max="8" width="9.42578125" style="152" bestFit="1" customWidth="1"/>
    <col min="9" max="9" width="7.85546875" style="152" bestFit="1" customWidth="1"/>
    <col min="10" max="10" width="10.28515625" style="152" customWidth="1"/>
    <col min="11" max="11" width="10.42578125" style="152" customWidth="1"/>
    <col min="12" max="12" width="7.85546875" style="152" bestFit="1" customWidth="1"/>
    <col min="13" max="13" width="7.42578125" style="152" customWidth="1"/>
    <col min="14" max="14" width="9" style="152" customWidth="1"/>
    <col min="15" max="15" width="9.42578125" style="152" bestFit="1" customWidth="1"/>
    <col min="16" max="17" width="9.140625" style="152"/>
    <col min="18" max="18" width="9.42578125" style="152" bestFit="1" customWidth="1"/>
    <col min="19" max="19" width="11.7109375" style="152" customWidth="1"/>
    <col min="20" max="16384" width="9.140625" style="152"/>
  </cols>
  <sheetData>
    <row r="1" spans="1:21" ht="12.75">
      <c r="A1" s="288" t="s">
        <v>286</v>
      </c>
      <c r="E1" s="523" t="s">
        <v>304</v>
      </c>
      <c r="U1" s="523" t="s">
        <v>304</v>
      </c>
    </row>
    <row r="2" spans="1:21">
      <c r="A2" s="426" t="s">
        <v>262</v>
      </c>
    </row>
    <row r="3" spans="1:21" ht="38.25" customHeight="1">
      <c r="A3" s="181" t="s">
        <v>269</v>
      </c>
      <c r="B3" s="427" t="s">
        <v>0</v>
      </c>
      <c r="C3" s="427" t="s">
        <v>1</v>
      </c>
      <c r="D3" s="427" t="s">
        <v>2</v>
      </c>
      <c r="E3" s="427" t="s">
        <v>3</v>
      </c>
      <c r="F3" s="427" t="s">
        <v>4</v>
      </c>
      <c r="G3" s="428" t="s">
        <v>11</v>
      </c>
      <c r="H3" s="427" t="s">
        <v>5</v>
      </c>
      <c r="I3" s="427" t="s">
        <v>6</v>
      </c>
      <c r="J3" s="427" t="s">
        <v>7</v>
      </c>
      <c r="K3" s="428" t="s">
        <v>12</v>
      </c>
      <c r="L3" s="427" t="s">
        <v>8</v>
      </c>
      <c r="M3" s="427" t="s">
        <v>9</v>
      </c>
      <c r="N3" s="427" t="s">
        <v>252</v>
      </c>
      <c r="O3" s="429" t="s">
        <v>257</v>
      </c>
      <c r="P3" s="447" t="s">
        <v>86</v>
      </c>
      <c r="Q3" s="447" t="s">
        <v>87</v>
      </c>
      <c r="R3" s="447" t="s">
        <v>88</v>
      </c>
      <c r="S3" s="447" t="s">
        <v>89</v>
      </c>
      <c r="T3" s="447" t="s">
        <v>90</v>
      </c>
      <c r="U3" s="449" t="s">
        <v>294</v>
      </c>
    </row>
    <row r="4" spans="1:21">
      <c r="A4" s="182" t="s">
        <v>62</v>
      </c>
      <c r="B4" s="172">
        <v>140</v>
      </c>
      <c r="C4" s="172">
        <v>5</v>
      </c>
      <c r="D4" s="172">
        <v>46</v>
      </c>
      <c r="E4" s="172">
        <v>564</v>
      </c>
      <c r="F4" s="172">
        <v>639</v>
      </c>
      <c r="G4" s="193">
        <v>1394</v>
      </c>
      <c r="H4" s="173">
        <v>6771</v>
      </c>
      <c r="I4" s="172">
        <v>0</v>
      </c>
      <c r="J4" s="172">
        <v>152</v>
      </c>
      <c r="K4" s="193">
        <v>6923</v>
      </c>
      <c r="L4" s="172">
        <v>0</v>
      </c>
      <c r="M4" s="172">
        <v>160</v>
      </c>
      <c r="N4" s="172">
        <v>43</v>
      </c>
      <c r="O4" s="202">
        <v>8520</v>
      </c>
      <c r="P4" s="152">
        <f t="shared" ref="P4:P42" si="0">B4+D4</f>
        <v>186</v>
      </c>
      <c r="Q4" s="152">
        <f t="shared" ref="Q4:Q42" si="1">C4+E4+F4</f>
        <v>1208</v>
      </c>
      <c r="R4" s="197">
        <f t="shared" ref="R4:R42" si="2">SUM(K4:N4)</f>
        <v>7126</v>
      </c>
      <c r="S4" s="152">
        <f t="shared" ref="S4:S42" si="3">(10*P4)+(3*Q4)+R4</f>
        <v>12610</v>
      </c>
      <c r="T4" s="207">
        <f>S4/$S$43</f>
        <v>1.1819976416288134E-2</v>
      </c>
      <c r="U4" s="197">
        <f>O4-SUM(P4:R4)</f>
        <v>0</v>
      </c>
    </row>
    <row r="5" spans="1:21">
      <c r="A5" s="182" t="s">
        <v>84</v>
      </c>
      <c r="B5" s="173">
        <v>1117</v>
      </c>
      <c r="C5" s="172">
        <v>4</v>
      </c>
      <c r="D5" s="172">
        <v>67</v>
      </c>
      <c r="E5" s="172">
        <v>618</v>
      </c>
      <c r="F5" s="172">
        <v>482</v>
      </c>
      <c r="G5" s="193">
        <v>2288</v>
      </c>
      <c r="H5" s="173">
        <v>6713</v>
      </c>
      <c r="I5" s="172">
        <v>0</v>
      </c>
      <c r="J5" s="172">
        <v>39</v>
      </c>
      <c r="K5" s="193">
        <v>6752</v>
      </c>
      <c r="L5" s="172">
        <v>0</v>
      </c>
      <c r="M5" s="172">
        <v>115</v>
      </c>
      <c r="N5" s="172">
        <v>60</v>
      </c>
      <c r="O5" s="202">
        <v>9216</v>
      </c>
      <c r="P5" s="152">
        <f t="shared" si="0"/>
        <v>1184</v>
      </c>
      <c r="Q5" s="152">
        <f t="shared" si="1"/>
        <v>1104</v>
      </c>
      <c r="R5" s="197">
        <f t="shared" si="2"/>
        <v>6927</v>
      </c>
      <c r="S5" s="152">
        <f t="shared" si="3"/>
        <v>22079</v>
      </c>
      <c r="T5" s="207">
        <f t="shared" ref="T5:T42" si="4">S5/$S$43</f>
        <v>2.0695738247044067E-2</v>
      </c>
      <c r="U5" s="197">
        <f t="shared" ref="U5:U42" si="5">O5-SUM(P5:R5)</f>
        <v>1</v>
      </c>
    </row>
    <row r="6" spans="1:21">
      <c r="A6" s="182" t="s">
        <v>35</v>
      </c>
      <c r="B6" s="172">
        <v>45</v>
      </c>
      <c r="C6" s="172">
        <v>0</v>
      </c>
      <c r="D6" s="172">
        <v>10</v>
      </c>
      <c r="E6" s="172">
        <v>0</v>
      </c>
      <c r="F6" s="172">
        <v>0</v>
      </c>
      <c r="G6" s="193">
        <v>55</v>
      </c>
      <c r="H6" s="172">
        <v>0</v>
      </c>
      <c r="I6" s="172">
        <v>0</v>
      </c>
      <c r="J6" s="172">
        <v>0</v>
      </c>
      <c r="K6" s="193">
        <v>0</v>
      </c>
      <c r="L6" s="172">
        <v>0</v>
      </c>
      <c r="M6" s="172">
        <v>0</v>
      </c>
      <c r="N6" s="172">
        <v>0</v>
      </c>
      <c r="O6" s="203">
        <v>55</v>
      </c>
      <c r="P6" s="152">
        <f t="shared" si="0"/>
        <v>55</v>
      </c>
      <c r="Q6" s="152">
        <f t="shared" si="1"/>
        <v>0</v>
      </c>
      <c r="R6" s="197">
        <f t="shared" si="2"/>
        <v>0</v>
      </c>
      <c r="S6" s="152">
        <f t="shared" si="3"/>
        <v>550</v>
      </c>
      <c r="T6" s="207">
        <f t="shared" si="4"/>
        <v>5.1554219103556488E-4</v>
      </c>
      <c r="U6" s="197">
        <f t="shared" si="5"/>
        <v>0</v>
      </c>
    </row>
    <row r="7" spans="1:21">
      <c r="A7" s="182" t="s">
        <v>36</v>
      </c>
      <c r="B7" s="172">
        <v>119</v>
      </c>
      <c r="C7" s="172">
        <v>36</v>
      </c>
      <c r="D7" s="172">
        <v>48</v>
      </c>
      <c r="E7" s="173">
        <v>1459</v>
      </c>
      <c r="F7" s="173">
        <v>1429</v>
      </c>
      <c r="G7" s="193">
        <v>3091</v>
      </c>
      <c r="H7" s="173">
        <v>11526</v>
      </c>
      <c r="I7" s="172">
        <v>0</v>
      </c>
      <c r="J7" s="172">
        <v>104</v>
      </c>
      <c r="K7" s="193">
        <v>11630</v>
      </c>
      <c r="L7" s="172">
        <v>245</v>
      </c>
      <c r="M7" s="172">
        <v>71</v>
      </c>
      <c r="N7" s="172">
        <v>39</v>
      </c>
      <c r="O7" s="202">
        <v>15076</v>
      </c>
      <c r="P7" s="152">
        <f t="shared" si="0"/>
        <v>167</v>
      </c>
      <c r="Q7" s="152">
        <f t="shared" si="1"/>
        <v>2924</v>
      </c>
      <c r="R7" s="197">
        <f t="shared" si="2"/>
        <v>11985</v>
      </c>
      <c r="S7" s="152">
        <f t="shared" si="3"/>
        <v>22427</v>
      </c>
      <c r="T7" s="207">
        <f t="shared" si="4"/>
        <v>2.1021935851553843E-2</v>
      </c>
      <c r="U7" s="197">
        <f t="shared" si="5"/>
        <v>0</v>
      </c>
    </row>
    <row r="8" spans="1:21">
      <c r="A8" s="183" t="s">
        <v>267</v>
      </c>
      <c r="B8" s="174">
        <v>101</v>
      </c>
      <c r="C8" s="174">
        <v>10</v>
      </c>
      <c r="D8" s="174">
        <v>29</v>
      </c>
      <c r="E8" s="174">
        <v>220</v>
      </c>
      <c r="F8" s="174">
        <v>302</v>
      </c>
      <c r="G8" s="194">
        <v>662</v>
      </c>
      <c r="H8" s="175">
        <v>2214</v>
      </c>
      <c r="I8" s="174">
        <v>36</v>
      </c>
      <c r="J8" s="174">
        <v>81</v>
      </c>
      <c r="K8" s="194">
        <v>2331</v>
      </c>
      <c r="L8" s="174">
        <v>198</v>
      </c>
      <c r="M8" s="174">
        <v>24</v>
      </c>
      <c r="N8" s="174">
        <v>16</v>
      </c>
      <c r="O8" s="204">
        <v>3230</v>
      </c>
      <c r="P8" s="152">
        <f t="shared" si="0"/>
        <v>130</v>
      </c>
      <c r="Q8" s="152">
        <f t="shared" si="1"/>
        <v>532</v>
      </c>
      <c r="R8" s="197">
        <f t="shared" si="2"/>
        <v>2569</v>
      </c>
      <c r="S8" s="152">
        <f t="shared" si="3"/>
        <v>5465</v>
      </c>
      <c r="T8" s="207">
        <f t="shared" si="4"/>
        <v>5.122614680017022E-3</v>
      </c>
      <c r="U8" s="197">
        <f t="shared" si="5"/>
        <v>-1</v>
      </c>
    </row>
    <row r="9" spans="1:21">
      <c r="A9" s="182" t="s">
        <v>14</v>
      </c>
      <c r="B9" s="172">
        <v>186</v>
      </c>
      <c r="C9" s="172">
        <v>29</v>
      </c>
      <c r="D9" s="172">
        <v>28</v>
      </c>
      <c r="E9" s="173">
        <v>2281</v>
      </c>
      <c r="F9" s="172">
        <v>911</v>
      </c>
      <c r="G9" s="193">
        <v>3435</v>
      </c>
      <c r="H9" s="173">
        <v>13063</v>
      </c>
      <c r="I9" s="172">
        <v>107</v>
      </c>
      <c r="J9" s="173">
        <v>3264</v>
      </c>
      <c r="K9" s="193">
        <v>16434</v>
      </c>
      <c r="L9" s="172">
        <v>190</v>
      </c>
      <c r="M9" s="172">
        <v>739</v>
      </c>
      <c r="N9" s="172">
        <v>10</v>
      </c>
      <c r="O9" s="202">
        <v>20808</v>
      </c>
      <c r="P9" s="152">
        <f t="shared" si="0"/>
        <v>214</v>
      </c>
      <c r="Q9" s="152">
        <f t="shared" si="1"/>
        <v>3221</v>
      </c>
      <c r="R9" s="197">
        <f t="shared" si="2"/>
        <v>17373</v>
      </c>
      <c r="S9" s="152">
        <f t="shared" si="3"/>
        <v>29176</v>
      </c>
      <c r="T9" s="207">
        <f t="shared" si="4"/>
        <v>2.7348107210279349E-2</v>
      </c>
      <c r="U9" s="197">
        <f t="shared" si="5"/>
        <v>0</v>
      </c>
    </row>
    <row r="10" spans="1:21">
      <c r="A10" s="182" t="s">
        <v>44</v>
      </c>
      <c r="B10" s="172">
        <v>779</v>
      </c>
      <c r="C10" s="172">
        <v>0</v>
      </c>
      <c r="D10" s="172">
        <v>152</v>
      </c>
      <c r="E10" s="173">
        <v>1733</v>
      </c>
      <c r="F10" s="172">
        <v>889</v>
      </c>
      <c r="G10" s="193">
        <v>3553</v>
      </c>
      <c r="H10" s="173">
        <v>18075</v>
      </c>
      <c r="I10" s="172">
        <v>297</v>
      </c>
      <c r="J10" s="172">
        <v>0</v>
      </c>
      <c r="K10" s="193">
        <v>18372</v>
      </c>
      <c r="L10" s="172">
        <v>171</v>
      </c>
      <c r="M10" s="172">
        <v>604</v>
      </c>
      <c r="N10" s="172">
        <v>31</v>
      </c>
      <c r="O10" s="202">
        <v>22731</v>
      </c>
      <c r="P10" s="152">
        <f t="shared" si="0"/>
        <v>931</v>
      </c>
      <c r="Q10" s="152">
        <f t="shared" si="1"/>
        <v>2622</v>
      </c>
      <c r="R10" s="197">
        <f t="shared" si="2"/>
        <v>19178</v>
      </c>
      <c r="S10" s="152">
        <f t="shared" si="3"/>
        <v>36354</v>
      </c>
      <c r="T10" s="207">
        <f t="shared" si="4"/>
        <v>3.4076401478012594E-2</v>
      </c>
      <c r="U10" s="197">
        <f t="shared" si="5"/>
        <v>0</v>
      </c>
    </row>
    <row r="11" spans="1:21">
      <c r="A11" s="182" t="s">
        <v>63</v>
      </c>
      <c r="B11" s="172">
        <v>540</v>
      </c>
      <c r="C11" s="172">
        <v>0</v>
      </c>
      <c r="D11" s="172">
        <v>76</v>
      </c>
      <c r="E11" s="173">
        <v>2115</v>
      </c>
      <c r="F11" s="172">
        <v>965</v>
      </c>
      <c r="G11" s="193">
        <v>3696</v>
      </c>
      <c r="H11" s="173">
        <v>15794</v>
      </c>
      <c r="I11" s="172">
        <v>18</v>
      </c>
      <c r="J11" s="172">
        <v>221</v>
      </c>
      <c r="K11" s="193">
        <v>16033</v>
      </c>
      <c r="L11" s="172">
        <v>0</v>
      </c>
      <c r="M11" s="172">
        <v>106</v>
      </c>
      <c r="N11" s="172">
        <v>65</v>
      </c>
      <c r="O11" s="202">
        <v>19900</v>
      </c>
      <c r="P11" s="152">
        <f t="shared" si="0"/>
        <v>616</v>
      </c>
      <c r="Q11" s="152">
        <f t="shared" si="1"/>
        <v>3080</v>
      </c>
      <c r="R11" s="197">
        <f t="shared" si="2"/>
        <v>16204</v>
      </c>
      <c r="S11" s="152">
        <f t="shared" si="3"/>
        <v>31604</v>
      </c>
      <c r="T11" s="207">
        <f t="shared" si="4"/>
        <v>2.9623991646341805E-2</v>
      </c>
      <c r="U11" s="197">
        <f t="shared" si="5"/>
        <v>0</v>
      </c>
    </row>
    <row r="12" spans="1:21">
      <c r="A12" s="182" t="s">
        <v>45</v>
      </c>
      <c r="B12" s="172">
        <v>285</v>
      </c>
      <c r="C12" s="172">
        <v>77</v>
      </c>
      <c r="D12" s="172">
        <v>141</v>
      </c>
      <c r="E12" s="172">
        <v>685</v>
      </c>
      <c r="F12" s="172">
        <v>971</v>
      </c>
      <c r="G12" s="193">
        <v>2159</v>
      </c>
      <c r="H12" s="173">
        <v>12845</v>
      </c>
      <c r="I12" s="172">
        <v>174</v>
      </c>
      <c r="J12" s="172">
        <v>18</v>
      </c>
      <c r="K12" s="193">
        <v>13037</v>
      </c>
      <c r="L12" s="172">
        <v>172</v>
      </c>
      <c r="M12" s="172">
        <v>10</v>
      </c>
      <c r="N12" s="172">
        <v>55</v>
      </c>
      <c r="O12" s="202">
        <v>15433</v>
      </c>
      <c r="P12" s="152">
        <f t="shared" si="0"/>
        <v>426</v>
      </c>
      <c r="Q12" s="152">
        <f t="shared" si="1"/>
        <v>1733</v>
      </c>
      <c r="R12" s="197">
        <f t="shared" si="2"/>
        <v>13274</v>
      </c>
      <c r="S12" s="152">
        <f t="shared" si="3"/>
        <v>22733</v>
      </c>
      <c r="T12" s="207">
        <f t="shared" si="4"/>
        <v>2.1308764779657267E-2</v>
      </c>
      <c r="U12" s="197">
        <f t="shared" si="5"/>
        <v>0</v>
      </c>
    </row>
    <row r="13" spans="1:21">
      <c r="A13" s="182" t="s">
        <v>74</v>
      </c>
      <c r="B13" s="172">
        <v>471</v>
      </c>
      <c r="C13" s="172">
        <v>24</v>
      </c>
      <c r="D13" s="172">
        <v>97</v>
      </c>
      <c r="E13" s="172">
        <v>515</v>
      </c>
      <c r="F13" s="172">
        <v>319</v>
      </c>
      <c r="G13" s="193">
        <v>1426</v>
      </c>
      <c r="H13" s="173">
        <v>8315</v>
      </c>
      <c r="I13" s="172">
        <v>0</v>
      </c>
      <c r="J13" s="172">
        <v>67</v>
      </c>
      <c r="K13" s="193">
        <v>8382</v>
      </c>
      <c r="L13" s="172">
        <v>0</v>
      </c>
      <c r="M13" s="172">
        <v>75</v>
      </c>
      <c r="N13" s="172">
        <v>156</v>
      </c>
      <c r="O13" s="202">
        <v>10039</v>
      </c>
      <c r="P13" s="152">
        <f t="shared" si="0"/>
        <v>568</v>
      </c>
      <c r="Q13" s="152">
        <f t="shared" si="1"/>
        <v>858</v>
      </c>
      <c r="R13" s="197">
        <f t="shared" si="2"/>
        <v>8613</v>
      </c>
      <c r="S13" s="152">
        <f t="shared" si="3"/>
        <v>16867</v>
      </c>
      <c r="T13" s="207">
        <f t="shared" si="4"/>
        <v>1.5810272974903405E-2</v>
      </c>
      <c r="U13" s="197">
        <f t="shared" si="5"/>
        <v>0</v>
      </c>
    </row>
    <row r="14" spans="1:21">
      <c r="A14" s="182" t="s">
        <v>37</v>
      </c>
      <c r="B14" s="172">
        <v>746</v>
      </c>
      <c r="C14" s="172">
        <v>5</v>
      </c>
      <c r="D14" s="172">
        <v>129</v>
      </c>
      <c r="E14" s="173">
        <v>1833</v>
      </c>
      <c r="F14" s="172">
        <v>390</v>
      </c>
      <c r="G14" s="193">
        <v>3103</v>
      </c>
      <c r="H14" s="173">
        <v>18880</v>
      </c>
      <c r="I14" s="172">
        <v>0</v>
      </c>
      <c r="J14" s="172">
        <v>0</v>
      </c>
      <c r="K14" s="193">
        <v>18880</v>
      </c>
      <c r="L14" s="172">
        <v>0</v>
      </c>
      <c r="M14" s="172">
        <v>723</v>
      </c>
      <c r="N14" s="172">
        <v>44</v>
      </c>
      <c r="O14" s="202">
        <v>22751</v>
      </c>
      <c r="P14" s="152">
        <f t="shared" si="0"/>
        <v>875</v>
      </c>
      <c r="Q14" s="152">
        <f t="shared" si="1"/>
        <v>2228</v>
      </c>
      <c r="R14" s="197">
        <f t="shared" si="2"/>
        <v>19647</v>
      </c>
      <c r="S14" s="152">
        <f t="shared" si="3"/>
        <v>35081</v>
      </c>
      <c r="T14" s="207">
        <f t="shared" si="4"/>
        <v>3.2883155643124821E-2</v>
      </c>
      <c r="U14" s="197">
        <f t="shared" si="5"/>
        <v>1</v>
      </c>
    </row>
    <row r="15" spans="1:21">
      <c r="A15" s="182" t="s">
        <v>38</v>
      </c>
      <c r="B15" s="172">
        <v>378</v>
      </c>
      <c r="C15" s="172">
        <v>25</v>
      </c>
      <c r="D15" s="172">
        <v>92</v>
      </c>
      <c r="E15" s="172">
        <v>291</v>
      </c>
      <c r="F15" s="172">
        <v>171</v>
      </c>
      <c r="G15" s="193">
        <v>957</v>
      </c>
      <c r="H15" s="173">
        <v>8238</v>
      </c>
      <c r="I15" s="172">
        <v>0</v>
      </c>
      <c r="J15" s="172">
        <v>420</v>
      </c>
      <c r="K15" s="193">
        <v>8658</v>
      </c>
      <c r="L15" s="172">
        <v>26</v>
      </c>
      <c r="M15" s="172">
        <v>1</v>
      </c>
      <c r="N15" s="172">
        <v>0</v>
      </c>
      <c r="O15" s="202">
        <v>9642</v>
      </c>
      <c r="P15" s="152">
        <f t="shared" si="0"/>
        <v>470</v>
      </c>
      <c r="Q15" s="152">
        <f t="shared" si="1"/>
        <v>487</v>
      </c>
      <c r="R15" s="197">
        <f t="shared" si="2"/>
        <v>8685</v>
      </c>
      <c r="S15" s="152">
        <f t="shared" si="3"/>
        <v>14846</v>
      </c>
      <c r="T15" s="207">
        <f t="shared" si="4"/>
        <v>1.3915889760207266E-2</v>
      </c>
      <c r="U15" s="197">
        <f t="shared" si="5"/>
        <v>0</v>
      </c>
    </row>
    <row r="16" spans="1:21">
      <c r="A16" s="182" t="s">
        <v>26</v>
      </c>
      <c r="B16" s="172">
        <v>643</v>
      </c>
      <c r="C16" s="172">
        <v>43</v>
      </c>
      <c r="D16" s="172">
        <v>208</v>
      </c>
      <c r="E16" s="172">
        <v>809</v>
      </c>
      <c r="F16" s="173">
        <v>1449</v>
      </c>
      <c r="G16" s="193">
        <v>3152</v>
      </c>
      <c r="H16" s="173">
        <v>15632</v>
      </c>
      <c r="I16" s="172">
        <v>0</v>
      </c>
      <c r="J16" s="172">
        <v>11</v>
      </c>
      <c r="K16" s="193">
        <v>15643</v>
      </c>
      <c r="L16" s="172">
        <v>8</v>
      </c>
      <c r="M16" s="172">
        <v>64</v>
      </c>
      <c r="N16" s="172">
        <v>151</v>
      </c>
      <c r="O16" s="202">
        <v>19018</v>
      </c>
      <c r="P16" s="152">
        <f t="shared" si="0"/>
        <v>851</v>
      </c>
      <c r="Q16" s="152">
        <f t="shared" si="1"/>
        <v>2301</v>
      </c>
      <c r="R16" s="197">
        <f t="shared" si="2"/>
        <v>15866</v>
      </c>
      <c r="S16" s="152">
        <f t="shared" si="3"/>
        <v>31279</v>
      </c>
      <c r="T16" s="207">
        <f t="shared" si="4"/>
        <v>2.9319353078911699E-2</v>
      </c>
      <c r="U16" s="197">
        <f t="shared" si="5"/>
        <v>0</v>
      </c>
    </row>
    <row r="17" spans="1:21" ht="12.75" customHeight="1">
      <c r="A17" s="182" t="s">
        <v>15</v>
      </c>
      <c r="B17" s="172">
        <v>543</v>
      </c>
      <c r="C17" s="172">
        <v>0</v>
      </c>
      <c r="D17" s="172">
        <v>131</v>
      </c>
      <c r="E17" s="173">
        <v>2534</v>
      </c>
      <c r="F17" s="172">
        <v>931</v>
      </c>
      <c r="G17" s="193">
        <v>4139</v>
      </c>
      <c r="H17" s="173">
        <v>12828</v>
      </c>
      <c r="I17" s="172">
        <v>0</v>
      </c>
      <c r="J17" s="172">
        <v>86</v>
      </c>
      <c r="K17" s="193">
        <v>12914</v>
      </c>
      <c r="L17" s="172">
        <v>0</v>
      </c>
      <c r="M17" s="172">
        <v>776</v>
      </c>
      <c r="N17" s="172">
        <v>22</v>
      </c>
      <c r="O17" s="202">
        <v>17852</v>
      </c>
      <c r="P17" s="152">
        <f t="shared" si="0"/>
        <v>674</v>
      </c>
      <c r="Q17" s="152">
        <f t="shared" si="1"/>
        <v>3465</v>
      </c>
      <c r="R17" s="197">
        <f t="shared" si="2"/>
        <v>13712</v>
      </c>
      <c r="S17" s="152">
        <f t="shared" si="3"/>
        <v>30847</v>
      </c>
      <c r="T17" s="207">
        <f t="shared" si="4"/>
        <v>2.8914418121589219E-2</v>
      </c>
      <c r="U17" s="197">
        <f t="shared" si="5"/>
        <v>1</v>
      </c>
    </row>
    <row r="18" spans="1:21">
      <c r="A18" s="182" t="s">
        <v>28</v>
      </c>
      <c r="B18" s="173">
        <v>1489</v>
      </c>
      <c r="C18" s="172">
        <v>0</v>
      </c>
      <c r="D18" s="172">
        <v>489</v>
      </c>
      <c r="E18" s="173">
        <v>3881</v>
      </c>
      <c r="F18" s="173">
        <v>1722</v>
      </c>
      <c r="G18" s="193">
        <v>7581</v>
      </c>
      <c r="H18" s="173">
        <v>29171</v>
      </c>
      <c r="I18" s="172">
        <v>0</v>
      </c>
      <c r="J18" s="172">
        <v>320</v>
      </c>
      <c r="K18" s="193">
        <v>29491</v>
      </c>
      <c r="L18" s="172">
        <v>0</v>
      </c>
      <c r="M18" s="172">
        <v>360</v>
      </c>
      <c r="N18" s="172">
        <v>72</v>
      </c>
      <c r="O18" s="202">
        <v>37505</v>
      </c>
      <c r="P18" s="152">
        <f t="shared" si="0"/>
        <v>1978</v>
      </c>
      <c r="Q18" s="152">
        <f t="shared" si="1"/>
        <v>5603</v>
      </c>
      <c r="R18" s="197">
        <f t="shared" si="2"/>
        <v>29923</v>
      </c>
      <c r="S18" s="152">
        <f t="shared" si="3"/>
        <v>66512</v>
      </c>
      <c r="T18" s="207">
        <f t="shared" si="4"/>
        <v>6.2344985836649991E-2</v>
      </c>
      <c r="U18" s="197">
        <f t="shared" si="5"/>
        <v>1</v>
      </c>
    </row>
    <row r="19" spans="1:21" s="176" customFormat="1">
      <c r="A19" s="182" t="s">
        <v>46</v>
      </c>
      <c r="B19" s="172">
        <v>458</v>
      </c>
      <c r="C19" s="172">
        <v>12</v>
      </c>
      <c r="D19" s="172">
        <v>53</v>
      </c>
      <c r="E19" s="172">
        <v>479</v>
      </c>
      <c r="F19" s="172">
        <v>411</v>
      </c>
      <c r="G19" s="193">
        <v>1413</v>
      </c>
      <c r="H19" s="173">
        <v>7377</v>
      </c>
      <c r="I19" s="172">
        <v>0</v>
      </c>
      <c r="J19" s="172">
        <v>0</v>
      </c>
      <c r="K19" s="193">
        <v>7377</v>
      </c>
      <c r="L19" s="172">
        <v>63</v>
      </c>
      <c r="M19" s="172">
        <v>36</v>
      </c>
      <c r="N19" s="172">
        <v>104</v>
      </c>
      <c r="O19" s="202">
        <v>8994</v>
      </c>
      <c r="P19" s="152">
        <f t="shared" si="0"/>
        <v>511</v>
      </c>
      <c r="Q19" s="152">
        <f t="shared" si="1"/>
        <v>902</v>
      </c>
      <c r="R19" s="197">
        <f t="shared" si="2"/>
        <v>7580</v>
      </c>
      <c r="S19" s="152">
        <f t="shared" si="3"/>
        <v>15396</v>
      </c>
      <c r="T19" s="207">
        <f t="shared" si="4"/>
        <v>1.4431431951242831E-2</v>
      </c>
      <c r="U19" s="197">
        <f t="shared" si="5"/>
        <v>1</v>
      </c>
    </row>
    <row r="20" spans="1:21">
      <c r="A20" s="182" t="s">
        <v>39</v>
      </c>
      <c r="B20" s="172">
        <v>595</v>
      </c>
      <c r="C20" s="172">
        <v>0</v>
      </c>
      <c r="D20" s="172">
        <v>155</v>
      </c>
      <c r="E20" s="173">
        <v>1646</v>
      </c>
      <c r="F20" s="173">
        <v>1149</v>
      </c>
      <c r="G20" s="193">
        <v>3545</v>
      </c>
      <c r="H20" s="173">
        <v>23417</v>
      </c>
      <c r="I20" s="172">
        <v>43</v>
      </c>
      <c r="J20" s="172">
        <v>233</v>
      </c>
      <c r="K20" s="193">
        <v>23693</v>
      </c>
      <c r="L20" s="172">
        <v>0</v>
      </c>
      <c r="M20" s="172">
        <v>366</v>
      </c>
      <c r="N20" s="172">
        <v>90</v>
      </c>
      <c r="O20" s="202">
        <v>27693</v>
      </c>
      <c r="P20" s="152">
        <f t="shared" si="0"/>
        <v>750</v>
      </c>
      <c r="Q20" s="152">
        <f t="shared" si="1"/>
        <v>2795</v>
      </c>
      <c r="R20" s="197">
        <f t="shared" si="2"/>
        <v>24149</v>
      </c>
      <c r="S20" s="152">
        <f t="shared" si="3"/>
        <v>40034</v>
      </c>
      <c r="T20" s="207">
        <f t="shared" si="4"/>
        <v>3.752584741075965E-2</v>
      </c>
      <c r="U20" s="197">
        <f t="shared" si="5"/>
        <v>-1</v>
      </c>
    </row>
    <row r="21" spans="1:21">
      <c r="A21" s="182" t="s">
        <v>258</v>
      </c>
      <c r="B21" s="172">
        <v>678</v>
      </c>
      <c r="C21" s="172">
        <v>11</v>
      </c>
      <c r="D21" s="172">
        <v>473</v>
      </c>
      <c r="E21" s="173">
        <v>2687</v>
      </c>
      <c r="F21" s="173">
        <v>1416</v>
      </c>
      <c r="G21" s="193">
        <v>5265</v>
      </c>
      <c r="H21" s="173">
        <v>22005</v>
      </c>
      <c r="I21" s="172">
        <v>0</v>
      </c>
      <c r="J21" s="172">
        <v>0</v>
      </c>
      <c r="K21" s="193">
        <v>22005</v>
      </c>
      <c r="L21" s="172">
        <v>0</v>
      </c>
      <c r="M21" s="172">
        <v>178</v>
      </c>
      <c r="N21" s="172">
        <v>19</v>
      </c>
      <c r="O21" s="202">
        <v>27468</v>
      </c>
      <c r="P21" s="152">
        <f t="shared" si="0"/>
        <v>1151</v>
      </c>
      <c r="Q21" s="152">
        <f t="shared" si="1"/>
        <v>4114</v>
      </c>
      <c r="R21" s="197">
        <f t="shared" si="2"/>
        <v>22202</v>
      </c>
      <c r="S21" s="152">
        <f t="shared" si="3"/>
        <v>46054</v>
      </c>
      <c r="T21" s="207">
        <f t="shared" si="4"/>
        <v>4.3168691029003468E-2</v>
      </c>
      <c r="U21" s="197">
        <f t="shared" si="5"/>
        <v>1</v>
      </c>
    </row>
    <row r="22" spans="1:21" s="154" customFormat="1" ht="10.5" customHeight="1">
      <c r="A22" s="182" t="s">
        <v>16</v>
      </c>
      <c r="B22" s="172">
        <v>229</v>
      </c>
      <c r="C22" s="172">
        <v>0</v>
      </c>
      <c r="D22" s="172">
        <v>34</v>
      </c>
      <c r="E22" s="172">
        <v>387</v>
      </c>
      <c r="F22" s="172">
        <v>269</v>
      </c>
      <c r="G22" s="193">
        <v>919</v>
      </c>
      <c r="H22" s="173">
        <v>5787</v>
      </c>
      <c r="I22" s="172">
        <v>291</v>
      </c>
      <c r="J22" s="172">
        <v>0</v>
      </c>
      <c r="K22" s="193">
        <v>6078</v>
      </c>
      <c r="L22" s="172">
        <v>7</v>
      </c>
      <c r="M22" s="172">
        <v>43</v>
      </c>
      <c r="N22" s="172">
        <v>131</v>
      </c>
      <c r="O22" s="202">
        <v>7177</v>
      </c>
      <c r="P22" s="152">
        <f t="shared" si="0"/>
        <v>263</v>
      </c>
      <c r="Q22" s="152">
        <f t="shared" si="1"/>
        <v>656</v>
      </c>
      <c r="R22" s="197">
        <f t="shared" si="2"/>
        <v>6259</v>
      </c>
      <c r="S22" s="152">
        <f t="shared" si="3"/>
        <v>10857</v>
      </c>
      <c r="T22" s="207">
        <f t="shared" si="4"/>
        <v>1.0176802851042051E-2</v>
      </c>
      <c r="U22" s="197">
        <f t="shared" si="5"/>
        <v>-1</v>
      </c>
    </row>
    <row r="23" spans="1:21">
      <c r="A23" s="182" t="s">
        <v>30</v>
      </c>
      <c r="B23" s="172">
        <v>275</v>
      </c>
      <c r="C23" s="172">
        <v>0</v>
      </c>
      <c r="D23" s="172">
        <v>78</v>
      </c>
      <c r="E23" s="173">
        <v>1193</v>
      </c>
      <c r="F23" s="172">
        <v>806</v>
      </c>
      <c r="G23" s="193">
        <v>2352</v>
      </c>
      <c r="H23" s="173">
        <v>7633</v>
      </c>
      <c r="I23" s="172">
        <v>0</v>
      </c>
      <c r="J23" s="172">
        <v>0</v>
      </c>
      <c r="K23" s="193">
        <v>7633</v>
      </c>
      <c r="L23" s="172">
        <v>0</v>
      </c>
      <c r="M23" s="172">
        <v>0</v>
      </c>
      <c r="N23" s="172">
        <v>7</v>
      </c>
      <c r="O23" s="202">
        <v>9992</v>
      </c>
      <c r="P23" s="152">
        <f t="shared" si="0"/>
        <v>353</v>
      </c>
      <c r="Q23" s="152">
        <f t="shared" si="1"/>
        <v>1999</v>
      </c>
      <c r="R23" s="197">
        <f t="shared" si="2"/>
        <v>7640</v>
      </c>
      <c r="S23" s="152">
        <f t="shared" si="3"/>
        <v>17167</v>
      </c>
      <c r="T23" s="207">
        <f t="shared" si="4"/>
        <v>1.609147780637735E-2</v>
      </c>
      <c r="U23" s="197">
        <f t="shared" si="5"/>
        <v>0</v>
      </c>
    </row>
    <row r="24" spans="1:21">
      <c r="A24" s="182" t="s">
        <v>75</v>
      </c>
      <c r="B24" s="172">
        <v>871</v>
      </c>
      <c r="C24" s="172">
        <v>24</v>
      </c>
      <c r="D24" s="172">
        <v>140</v>
      </c>
      <c r="E24" s="172">
        <v>505</v>
      </c>
      <c r="F24" s="172">
        <v>566</v>
      </c>
      <c r="G24" s="193">
        <v>2106</v>
      </c>
      <c r="H24" s="173">
        <v>10301</v>
      </c>
      <c r="I24" s="172">
        <v>0</v>
      </c>
      <c r="J24" s="172">
        <v>231</v>
      </c>
      <c r="K24" s="193">
        <v>10532</v>
      </c>
      <c r="L24" s="172">
        <v>30</v>
      </c>
      <c r="M24" s="172">
        <v>126</v>
      </c>
      <c r="N24" s="172">
        <v>122</v>
      </c>
      <c r="O24" s="202">
        <v>12915</v>
      </c>
      <c r="P24" s="152">
        <f t="shared" si="0"/>
        <v>1011</v>
      </c>
      <c r="Q24" s="152">
        <f t="shared" si="1"/>
        <v>1095</v>
      </c>
      <c r="R24" s="197">
        <f t="shared" si="2"/>
        <v>10810</v>
      </c>
      <c r="S24" s="152">
        <f t="shared" si="3"/>
        <v>24205</v>
      </c>
      <c r="T24" s="207">
        <f t="shared" si="4"/>
        <v>2.2688543152756088E-2</v>
      </c>
      <c r="U24" s="197">
        <f t="shared" si="5"/>
        <v>-1</v>
      </c>
    </row>
    <row r="25" spans="1:21" ht="12.75" customHeight="1">
      <c r="A25" s="182" t="s">
        <v>32</v>
      </c>
      <c r="B25" s="172">
        <v>108</v>
      </c>
      <c r="C25" s="172">
        <v>0</v>
      </c>
      <c r="D25" s="172">
        <v>26</v>
      </c>
      <c r="E25" s="172">
        <v>412</v>
      </c>
      <c r="F25" s="172">
        <v>528</v>
      </c>
      <c r="G25" s="193">
        <v>1074</v>
      </c>
      <c r="H25" s="173">
        <v>3827</v>
      </c>
      <c r="I25" s="172">
        <v>0</v>
      </c>
      <c r="J25" s="172">
        <v>0</v>
      </c>
      <c r="K25" s="193">
        <v>3827</v>
      </c>
      <c r="L25" s="172">
        <v>8</v>
      </c>
      <c r="M25" s="172">
        <v>27</v>
      </c>
      <c r="N25" s="172">
        <v>2</v>
      </c>
      <c r="O25" s="202">
        <v>4937</v>
      </c>
      <c r="P25" s="152">
        <f t="shared" si="0"/>
        <v>134</v>
      </c>
      <c r="Q25" s="152">
        <f t="shared" si="1"/>
        <v>940</v>
      </c>
      <c r="R25" s="197">
        <f t="shared" si="2"/>
        <v>3864</v>
      </c>
      <c r="S25" s="152">
        <f t="shared" si="3"/>
        <v>8024</v>
      </c>
      <c r="T25" s="207">
        <f t="shared" si="4"/>
        <v>7.521291892489769E-3</v>
      </c>
      <c r="U25" s="197">
        <f t="shared" si="5"/>
        <v>-1</v>
      </c>
    </row>
    <row r="26" spans="1:21">
      <c r="A26" s="182" t="s">
        <v>60</v>
      </c>
      <c r="B26" s="172">
        <v>126</v>
      </c>
      <c r="C26" s="172">
        <v>3</v>
      </c>
      <c r="D26" s="172">
        <v>45</v>
      </c>
      <c r="E26" s="172">
        <v>762</v>
      </c>
      <c r="F26" s="172">
        <v>611</v>
      </c>
      <c r="G26" s="193">
        <v>1547</v>
      </c>
      <c r="H26" s="173">
        <v>5724</v>
      </c>
      <c r="I26" s="172">
        <v>0</v>
      </c>
      <c r="J26" s="172">
        <v>1</v>
      </c>
      <c r="K26" s="193">
        <v>5725</v>
      </c>
      <c r="L26" s="172">
        <v>12</v>
      </c>
      <c r="M26" s="172">
        <v>81</v>
      </c>
      <c r="N26" s="172">
        <v>41</v>
      </c>
      <c r="O26" s="202">
        <v>7407</v>
      </c>
      <c r="P26" s="152">
        <f t="shared" si="0"/>
        <v>171</v>
      </c>
      <c r="Q26" s="152">
        <f t="shared" si="1"/>
        <v>1376</v>
      </c>
      <c r="R26" s="197">
        <f t="shared" si="2"/>
        <v>5859</v>
      </c>
      <c r="S26" s="152">
        <f t="shared" si="3"/>
        <v>11697</v>
      </c>
      <c r="T26" s="207">
        <f t="shared" si="4"/>
        <v>1.0964176379169096E-2</v>
      </c>
      <c r="U26" s="197">
        <f t="shared" si="5"/>
        <v>1</v>
      </c>
    </row>
    <row r="27" spans="1:21">
      <c r="A27" s="182" t="s">
        <v>76</v>
      </c>
      <c r="B27" s="173">
        <v>2141</v>
      </c>
      <c r="C27" s="172">
        <v>84</v>
      </c>
      <c r="D27" s="172">
        <v>644</v>
      </c>
      <c r="E27" s="173">
        <v>2097</v>
      </c>
      <c r="F27" s="173">
        <v>2367</v>
      </c>
      <c r="G27" s="193">
        <v>7333</v>
      </c>
      <c r="H27" s="173">
        <v>23924</v>
      </c>
      <c r="I27" s="172">
        <v>0</v>
      </c>
      <c r="J27" s="172">
        <v>565</v>
      </c>
      <c r="K27" s="193">
        <v>24489</v>
      </c>
      <c r="L27" s="172">
        <v>0</v>
      </c>
      <c r="M27" s="172">
        <v>1</v>
      </c>
      <c r="N27" s="172">
        <v>90</v>
      </c>
      <c r="O27" s="202">
        <v>31912</v>
      </c>
      <c r="P27" s="152">
        <f t="shared" si="0"/>
        <v>2785</v>
      </c>
      <c r="Q27" s="152">
        <f t="shared" si="1"/>
        <v>4548</v>
      </c>
      <c r="R27" s="197">
        <f t="shared" si="2"/>
        <v>24580</v>
      </c>
      <c r="S27" s="152">
        <f t="shared" si="3"/>
        <v>66074</v>
      </c>
      <c r="T27" s="207">
        <f t="shared" si="4"/>
        <v>6.1934426782698032E-2</v>
      </c>
      <c r="U27" s="197">
        <f t="shared" si="5"/>
        <v>-1</v>
      </c>
    </row>
    <row r="28" spans="1:21">
      <c r="A28" s="182" t="s">
        <v>77</v>
      </c>
      <c r="B28" s="172">
        <v>348</v>
      </c>
      <c r="C28" s="172">
        <v>17</v>
      </c>
      <c r="D28" s="172">
        <v>135</v>
      </c>
      <c r="E28" s="172">
        <v>535</v>
      </c>
      <c r="F28" s="172">
        <v>725</v>
      </c>
      <c r="G28" s="193">
        <v>1760</v>
      </c>
      <c r="H28" s="173">
        <v>7420</v>
      </c>
      <c r="I28" s="172">
        <v>0</v>
      </c>
      <c r="J28" s="172">
        <v>102</v>
      </c>
      <c r="K28" s="193">
        <v>7522</v>
      </c>
      <c r="L28" s="172">
        <v>17</v>
      </c>
      <c r="M28" s="172">
        <v>41</v>
      </c>
      <c r="N28" s="172">
        <v>93</v>
      </c>
      <c r="O28" s="202">
        <v>9433</v>
      </c>
      <c r="P28" s="152">
        <f t="shared" si="0"/>
        <v>483</v>
      </c>
      <c r="Q28" s="152">
        <f t="shared" si="1"/>
        <v>1277</v>
      </c>
      <c r="R28" s="197">
        <f t="shared" si="2"/>
        <v>7673</v>
      </c>
      <c r="S28" s="152">
        <f t="shared" si="3"/>
        <v>16334</v>
      </c>
      <c r="T28" s="207">
        <f t="shared" si="4"/>
        <v>1.5310665724318032E-2</v>
      </c>
      <c r="U28" s="197">
        <f t="shared" si="5"/>
        <v>0</v>
      </c>
    </row>
    <row r="29" spans="1:21">
      <c r="A29" s="184" t="s">
        <v>78</v>
      </c>
      <c r="B29" s="177">
        <f>1606+B51</f>
        <v>1606</v>
      </c>
      <c r="C29" s="178">
        <v>0</v>
      </c>
      <c r="D29" s="178">
        <f>394+D51</f>
        <v>394</v>
      </c>
      <c r="E29" s="177">
        <f>4601+E51</f>
        <v>4601</v>
      </c>
      <c r="F29" s="177">
        <f>1076+F51</f>
        <v>1076</v>
      </c>
      <c r="G29" s="195">
        <f>SUM(B29:F29)</f>
        <v>7677</v>
      </c>
      <c r="H29" s="177">
        <f>21484+H51</f>
        <v>21484</v>
      </c>
      <c r="I29" s="178">
        <v>0</v>
      </c>
      <c r="J29" s="178">
        <f>7</f>
        <v>7</v>
      </c>
      <c r="K29" s="195">
        <f>SUM(H29:J29)</f>
        <v>21491</v>
      </c>
      <c r="L29" s="178">
        <v>0</v>
      </c>
      <c r="M29" s="178">
        <f>632+M51</f>
        <v>632</v>
      </c>
      <c r="N29" s="178">
        <v>57</v>
      </c>
      <c r="O29" s="205">
        <f>29857+O51</f>
        <v>29857</v>
      </c>
      <c r="P29" s="152">
        <f t="shared" si="0"/>
        <v>2000</v>
      </c>
      <c r="Q29" s="152">
        <f t="shared" si="1"/>
        <v>5677</v>
      </c>
      <c r="R29" s="197">
        <f t="shared" si="2"/>
        <v>22180</v>
      </c>
      <c r="S29" s="152">
        <f t="shared" si="3"/>
        <v>59211</v>
      </c>
      <c r="T29" s="207">
        <f t="shared" si="4"/>
        <v>5.5501397588012424E-2</v>
      </c>
      <c r="U29" s="197">
        <f t="shared" si="5"/>
        <v>0</v>
      </c>
    </row>
    <row r="30" spans="1:21">
      <c r="A30" s="182" t="s">
        <v>79</v>
      </c>
      <c r="B30" s="172">
        <v>580</v>
      </c>
      <c r="C30" s="172">
        <v>0</v>
      </c>
      <c r="D30" s="172">
        <v>251</v>
      </c>
      <c r="E30" s="172">
        <v>828</v>
      </c>
      <c r="F30" s="172">
        <v>501</v>
      </c>
      <c r="G30" s="193">
        <v>2160</v>
      </c>
      <c r="H30" s="173">
        <v>13518</v>
      </c>
      <c r="I30" s="172">
        <v>0</v>
      </c>
      <c r="J30" s="172">
        <v>0</v>
      </c>
      <c r="K30" s="193">
        <v>13518</v>
      </c>
      <c r="L30" s="172">
        <v>955</v>
      </c>
      <c r="M30" s="172">
        <v>280</v>
      </c>
      <c r="N30" s="172">
        <v>17</v>
      </c>
      <c r="O30" s="202">
        <v>16931</v>
      </c>
      <c r="P30" s="152">
        <f t="shared" si="0"/>
        <v>831</v>
      </c>
      <c r="Q30" s="152">
        <f t="shared" si="1"/>
        <v>1329</v>
      </c>
      <c r="R30" s="197">
        <f t="shared" si="2"/>
        <v>14770</v>
      </c>
      <c r="S30" s="152">
        <f t="shared" si="3"/>
        <v>27067</v>
      </c>
      <c r="T30" s="207">
        <f t="shared" si="4"/>
        <v>2.5371237245017518E-2</v>
      </c>
      <c r="U30" s="197">
        <f t="shared" si="5"/>
        <v>1</v>
      </c>
    </row>
    <row r="31" spans="1:21">
      <c r="A31" s="182" t="s">
        <v>80</v>
      </c>
      <c r="B31" s="172">
        <v>13</v>
      </c>
      <c r="C31" s="172">
        <v>0</v>
      </c>
      <c r="D31" s="172">
        <v>1</v>
      </c>
      <c r="E31" s="172">
        <v>194</v>
      </c>
      <c r="F31" s="172">
        <v>92</v>
      </c>
      <c r="G31" s="193">
        <v>300</v>
      </c>
      <c r="H31" s="173">
        <v>1580</v>
      </c>
      <c r="I31" s="172">
        <v>0</v>
      </c>
      <c r="J31" s="172">
        <v>14</v>
      </c>
      <c r="K31" s="193">
        <v>1594</v>
      </c>
      <c r="L31" s="172">
        <v>0</v>
      </c>
      <c r="M31" s="172">
        <v>117</v>
      </c>
      <c r="N31" s="172">
        <v>2</v>
      </c>
      <c r="O31" s="202">
        <v>2013</v>
      </c>
      <c r="P31" s="152">
        <f t="shared" si="0"/>
        <v>14</v>
      </c>
      <c r="Q31" s="152">
        <f t="shared" si="1"/>
        <v>286</v>
      </c>
      <c r="R31" s="197">
        <f t="shared" si="2"/>
        <v>1713</v>
      </c>
      <c r="S31" s="152">
        <f t="shared" si="3"/>
        <v>2711</v>
      </c>
      <c r="T31" s="207">
        <f t="shared" si="4"/>
        <v>2.5411543270862117E-3</v>
      </c>
      <c r="U31" s="197">
        <f t="shared" si="5"/>
        <v>0</v>
      </c>
    </row>
    <row r="32" spans="1:21">
      <c r="A32" s="182" t="s">
        <v>81</v>
      </c>
      <c r="B32" s="173">
        <v>2191</v>
      </c>
      <c r="C32" s="172">
        <v>26</v>
      </c>
      <c r="D32" s="172">
        <v>432</v>
      </c>
      <c r="E32" s="173">
        <v>2170</v>
      </c>
      <c r="F32" s="172">
        <v>638</v>
      </c>
      <c r="G32" s="193">
        <v>5457</v>
      </c>
      <c r="H32" s="173">
        <v>22411</v>
      </c>
      <c r="I32" s="172">
        <v>0</v>
      </c>
      <c r="J32" s="172">
        <v>397</v>
      </c>
      <c r="K32" s="193">
        <v>22808</v>
      </c>
      <c r="L32" s="172">
        <v>0</v>
      </c>
      <c r="M32" s="172">
        <v>578</v>
      </c>
      <c r="N32" s="172">
        <v>85</v>
      </c>
      <c r="O32" s="202">
        <v>28928</v>
      </c>
      <c r="P32" s="152">
        <f t="shared" si="0"/>
        <v>2623</v>
      </c>
      <c r="Q32" s="152">
        <f t="shared" si="1"/>
        <v>2834</v>
      </c>
      <c r="R32" s="197">
        <f t="shared" si="2"/>
        <v>23471</v>
      </c>
      <c r="S32" s="152">
        <f t="shared" si="3"/>
        <v>58203</v>
      </c>
      <c r="T32" s="207">
        <f t="shared" si="4"/>
        <v>5.4556549354259971E-2</v>
      </c>
      <c r="U32" s="197">
        <f t="shared" si="5"/>
        <v>0</v>
      </c>
    </row>
    <row r="33" spans="1:21" ht="12" customHeight="1">
      <c r="A33" s="182" t="s">
        <v>52</v>
      </c>
      <c r="B33" s="172">
        <v>599</v>
      </c>
      <c r="C33" s="172">
        <v>729</v>
      </c>
      <c r="D33" s="172">
        <v>98</v>
      </c>
      <c r="E33" s="173">
        <v>2398</v>
      </c>
      <c r="F33" s="172">
        <v>588</v>
      </c>
      <c r="G33" s="193">
        <v>4412</v>
      </c>
      <c r="H33" s="173">
        <v>15917</v>
      </c>
      <c r="I33" s="172">
        <v>0</v>
      </c>
      <c r="J33" s="172">
        <v>278</v>
      </c>
      <c r="K33" s="193">
        <v>16195</v>
      </c>
      <c r="L33" s="172">
        <v>81</v>
      </c>
      <c r="M33" s="172">
        <v>79</v>
      </c>
      <c r="N33" s="172">
        <v>55</v>
      </c>
      <c r="O33" s="202">
        <v>20822</v>
      </c>
      <c r="P33" s="152">
        <f t="shared" si="0"/>
        <v>697</v>
      </c>
      <c r="Q33" s="152">
        <f t="shared" si="1"/>
        <v>3715</v>
      </c>
      <c r="R33" s="197">
        <f t="shared" si="2"/>
        <v>16410</v>
      </c>
      <c r="S33" s="152">
        <f t="shared" si="3"/>
        <v>34525</v>
      </c>
      <c r="T33" s="207">
        <f t="shared" si="4"/>
        <v>3.236198935545978E-2</v>
      </c>
      <c r="U33" s="197">
        <f t="shared" si="5"/>
        <v>0</v>
      </c>
    </row>
    <row r="34" spans="1:21">
      <c r="A34" s="182" t="s">
        <v>41</v>
      </c>
      <c r="B34" s="172">
        <v>105</v>
      </c>
      <c r="C34" s="172">
        <v>39</v>
      </c>
      <c r="D34" s="172">
        <v>20</v>
      </c>
      <c r="E34" s="173">
        <v>1394</v>
      </c>
      <c r="F34" s="172">
        <v>752</v>
      </c>
      <c r="G34" s="193">
        <v>2310</v>
      </c>
      <c r="H34" s="173">
        <v>7723</v>
      </c>
      <c r="I34" s="172">
        <v>208</v>
      </c>
      <c r="J34" s="172">
        <v>159</v>
      </c>
      <c r="K34" s="193">
        <v>8090</v>
      </c>
      <c r="L34" s="172">
        <v>254</v>
      </c>
      <c r="M34" s="172">
        <v>389</v>
      </c>
      <c r="N34" s="172">
        <v>147</v>
      </c>
      <c r="O34" s="202">
        <v>11189</v>
      </c>
      <c r="P34" s="152">
        <f t="shared" si="0"/>
        <v>125</v>
      </c>
      <c r="Q34" s="152">
        <f t="shared" si="1"/>
        <v>2185</v>
      </c>
      <c r="R34" s="197">
        <f t="shared" si="2"/>
        <v>8880</v>
      </c>
      <c r="S34" s="152">
        <f t="shared" si="3"/>
        <v>16685</v>
      </c>
      <c r="T34" s="207">
        <f t="shared" si="4"/>
        <v>1.5639675377142545E-2</v>
      </c>
      <c r="U34" s="197">
        <f t="shared" si="5"/>
        <v>-1</v>
      </c>
    </row>
    <row r="35" spans="1:21" ht="12" customHeight="1">
      <c r="A35" s="182" t="s">
        <v>82</v>
      </c>
      <c r="B35" s="173">
        <v>2013</v>
      </c>
      <c r="C35" s="172">
        <v>22</v>
      </c>
      <c r="D35" s="172">
        <v>510</v>
      </c>
      <c r="E35" s="173">
        <v>2501</v>
      </c>
      <c r="F35" s="172">
        <v>870</v>
      </c>
      <c r="G35" s="193">
        <v>5916</v>
      </c>
      <c r="H35" s="173">
        <v>26794</v>
      </c>
      <c r="I35" s="172">
        <v>0</v>
      </c>
      <c r="J35" s="172">
        <v>214</v>
      </c>
      <c r="K35" s="193">
        <v>27008</v>
      </c>
      <c r="L35" s="172">
        <v>30</v>
      </c>
      <c r="M35" s="172">
        <v>505</v>
      </c>
      <c r="N35" s="172">
        <v>448</v>
      </c>
      <c r="O35" s="202">
        <v>33907</v>
      </c>
      <c r="P35" s="152">
        <f t="shared" si="0"/>
        <v>2523</v>
      </c>
      <c r="Q35" s="152">
        <f t="shared" si="1"/>
        <v>3393</v>
      </c>
      <c r="R35" s="197">
        <f t="shared" si="2"/>
        <v>27991</v>
      </c>
      <c r="S35" s="152">
        <f t="shared" si="3"/>
        <v>63400</v>
      </c>
      <c r="T35" s="207">
        <f t="shared" si="4"/>
        <v>5.9427954384826939E-2</v>
      </c>
      <c r="U35" s="197">
        <f t="shared" si="5"/>
        <v>0</v>
      </c>
    </row>
    <row r="36" spans="1:21">
      <c r="A36" s="185" t="s">
        <v>54</v>
      </c>
      <c r="B36" s="179">
        <f>534+B49</f>
        <v>608</v>
      </c>
      <c r="C36" s="179">
        <v>2</v>
      </c>
      <c r="D36" s="179">
        <f>128+D49</f>
        <v>144</v>
      </c>
      <c r="E36" s="179">
        <f>145+E49</f>
        <v>318</v>
      </c>
      <c r="F36" s="179">
        <f>252+F49</f>
        <v>405</v>
      </c>
      <c r="G36" s="196">
        <f>SUM(B36:F36)</f>
        <v>1477</v>
      </c>
      <c r="H36" s="180">
        <f>9537+H49</f>
        <v>10345</v>
      </c>
      <c r="I36" s="179">
        <v>0</v>
      </c>
      <c r="J36" s="179">
        <f>74+J49</f>
        <v>74</v>
      </c>
      <c r="K36" s="196">
        <f>SUM(H36:J36)</f>
        <v>10419</v>
      </c>
      <c r="L36" s="179">
        <v>166</v>
      </c>
      <c r="M36" s="179">
        <v>4</v>
      </c>
      <c r="N36" s="179">
        <f>85+N49</f>
        <v>85</v>
      </c>
      <c r="O36" s="206">
        <f>10924+O49</f>
        <v>12151</v>
      </c>
      <c r="P36" s="152">
        <f t="shared" si="0"/>
        <v>752</v>
      </c>
      <c r="Q36" s="152">
        <f t="shared" si="1"/>
        <v>725</v>
      </c>
      <c r="R36" s="197">
        <f t="shared" si="2"/>
        <v>10674</v>
      </c>
      <c r="S36" s="152">
        <f t="shared" si="3"/>
        <v>20369</v>
      </c>
      <c r="T36" s="207">
        <f t="shared" si="4"/>
        <v>1.9092870707642585E-2</v>
      </c>
      <c r="U36" s="197">
        <f t="shared" si="5"/>
        <v>0</v>
      </c>
    </row>
    <row r="37" spans="1:21">
      <c r="A37" s="182" t="s">
        <v>21</v>
      </c>
      <c r="B37" s="172">
        <v>540</v>
      </c>
      <c r="C37" s="172">
        <v>0</v>
      </c>
      <c r="D37" s="172">
        <v>128</v>
      </c>
      <c r="E37" s="173">
        <v>3109</v>
      </c>
      <c r="F37" s="173">
        <v>1540</v>
      </c>
      <c r="G37" s="193">
        <v>5317</v>
      </c>
      <c r="H37" s="173">
        <v>14947</v>
      </c>
      <c r="I37" s="172">
        <v>0</v>
      </c>
      <c r="J37" s="172">
        <v>3</v>
      </c>
      <c r="K37" s="193">
        <v>14950</v>
      </c>
      <c r="L37" s="172">
        <v>3</v>
      </c>
      <c r="M37" s="172">
        <v>51</v>
      </c>
      <c r="N37" s="172">
        <v>140</v>
      </c>
      <c r="O37" s="202">
        <v>20461</v>
      </c>
      <c r="P37" s="152">
        <f t="shared" si="0"/>
        <v>668</v>
      </c>
      <c r="Q37" s="152">
        <f t="shared" si="1"/>
        <v>4649</v>
      </c>
      <c r="R37" s="197">
        <f t="shared" si="2"/>
        <v>15144</v>
      </c>
      <c r="S37" s="152">
        <f t="shared" si="3"/>
        <v>35771</v>
      </c>
      <c r="T37" s="207">
        <f t="shared" si="4"/>
        <v>3.3529926755514895E-2</v>
      </c>
      <c r="U37" s="197">
        <f t="shared" si="5"/>
        <v>0</v>
      </c>
    </row>
    <row r="38" spans="1:21" s="162" customFormat="1">
      <c r="A38" s="182" t="s">
        <v>42</v>
      </c>
      <c r="B38" s="172">
        <v>24</v>
      </c>
      <c r="C38" s="172">
        <v>0</v>
      </c>
      <c r="D38" s="172">
        <v>10</v>
      </c>
      <c r="E38" s="172">
        <v>144</v>
      </c>
      <c r="F38" s="172">
        <v>29</v>
      </c>
      <c r="G38" s="193">
        <v>207</v>
      </c>
      <c r="H38" s="173">
        <v>2355</v>
      </c>
      <c r="I38" s="172">
        <v>0</v>
      </c>
      <c r="J38" s="172">
        <v>0</v>
      </c>
      <c r="K38" s="193">
        <v>2355</v>
      </c>
      <c r="L38" s="172">
        <v>0</v>
      </c>
      <c r="M38" s="172">
        <v>75</v>
      </c>
      <c r="N38" s="172">
        <v>6</v>
      </c>
      <c r="O38" s="202">
        <v>2642</v>
      </c>
      <c r="P38" s="152">
        <f t="shared" si="0"/>
        <v>34</v>
      </c>
      <c r="Q38" s="152">
        <f t="shared" si="1"/>
        <v>173</v>
      </c>
      <c r="R38" s="197">
        <f t="shared" si="2"/>
        <v>2436</v>
      </c>
      <c r="S38" s="152">
        <f t="shared" si="3"/>
        <v>3295</v>
      </c>
      <c r="T38" s="207">
        <f t="shared" si="4"/>
        <v>3.088566399022157E-3</v>
      </c>
      <c r="U38" s="197">
        <f t="shared" si="5"/>
        <v>-1</v>
      </c>
    </row>
    <row r="39" spans="1:21" s="170" customFormat="1">
      <c r="A39" s="182" t="s">
        <v>83</v>
      </c>
      <c r="B39" s="173">
        <v>1094</v>
      </c>
      <c r="C39" s="172">
        <v>0</v>
      </c>
      <c r="D39" s="172">
        <v>233</v>
      </c>
      <c r="E39" s="172">
        <v>570</v>
      </c>
      <c r="F39" s="172">
        <v>388</v>
      </c>
      <c r="G39" s="193">
        <v>2285</v>
      </c>
      <c r="H39" s="173">
        <v>10466</v>
      </c>
      <c r="I39" s="172">
        <v>0</v>
      </c>
      <c r="J39" s="172">
        <v>20</v>
      </c>
      <c r="K39" s="193">
        <v>10486</v>
      </c>
      <c r="L39" s="172">
        <v>40</v>
      </c>
      <c r="M39" s="172">
        <v>3</v>
      </c>
      <c r="N39" s="172">
        <v>123</v>
      </c>
      <c r="O39" s="202">
        <v>12936</v>
      </c>
      <c r="P39" s="152">
        <f t="shared" si="0"/>
        <v>1327</v>
      </c>
      <c r="Q39" s="152">
        <f t="shared" si="1"/>
        <v>958</v>
      </c>
      <c r="R39" s="197">
        <f t="shared" si="2"/>
        <v>10652</v>
      </c>
      <c r="S39" s="152">
        <f t="shared" si="3"/>
        <v>26796</v>
      </c>
      <c r="T39" s="207">
        <f t="shared" si="4"/>
        <v>2.5117215547252724E-2</v>
      </c>
      <c r="U39" s="197">
        <f t="shared" si="5"/>
        <v>-1</v>
      </c>
    </row>
    <row r="40" spans="1:21">
      <c r="A40" s="182" t="s">
        <v>22</v>
      </c>
      <c r="B40" s="172">
        <v>482</v>
      </c>
      <c r="C40" s="172">
        <v>1</v>
      </c>
      <c r="D40" s="172">
        <v>126</v>
      </c>
      <c r="E40" s="173">
        <v>2131</v>
      </c>
      <c r="F40" s="172">
        <v>843</v>
      </c>
      <c r="G40" s="193">
        <v>3583</v>
      </c>
      <c r="H40" s="173">
        <v>20913</v>
      </c>
      <c r="I40" s="172">
        <v>0</v>
      </c>
      <c r="J40" s="172">
        <v>108</v>
      </c>
      <c r="K40" s="193">
        <v>21021</v>
      </c>
      <c r="L40" s="172">
        <v>79</v>
      </c>
      <c r="M40" s="172">
        <v>388</v>
      </c>
      <c r="N40" s="172">
        <v>22</v>
      </c>
      <c r="O40" s="202">
        <v>25093</v>
      </c>
      <c r="P40" s="152">
        <f t="shared" si="0"/>
        <v>608</v>
      </c>
      <c r="Q40" s="152">
        <f t="shared" si="1"/>
        <v>2975</v>
      </c>
      <c r="R40" s="197">
        <f t="shared" si="2"/>
        <v>21510</v>
      </c>
      <c r="S40" s="152">
        <f t="shared" si="3"/>
        <v>36515</v>
      </c>
      <c r="T40" s="207">
        <f t="shared" si="4"/>
        <v>3.4227314737570277E-2</v>
      </c>
      <c r="U40" s="197">
        <f t="shared" si="5"/>
        <v>0</v>
      </c>
    </row>
    <row r="41" spans="1:21">
      <c r="A41" s="182" t="s">
        <v>23</v>
      </c>
      <c r="B41" s="172">
        <v>672</v>
      </c>
      <c r="C41" s="172">
        <v>13</v>
      </c>
      <c r="D41" s="172">
        <v>126</v>
      </c>
      <c r="E41" s="173">
        <v>2082</v>
      </c>
      <c r="F41" s="172">
        <v>499</v>
      </c>
      <c r="G41" s="193">
        <v>3392</v>
      </c>
      <c r="H41" s="173">
        <v>9952</v>
      </c>
      <c r="I41" s="172">
        <v>0</v>
      </c>
      <c r="J41" s="172">
        <v>5</v>
      </c>
      <c r="K41" s="193">
        <v>9957</v>
      </c>
      <c r="L41" s="172">
        <v>154</v>
      </c>
      <c r="M41" s="172">
        <v>317</v>
      </c>
      <c r="N41" s="172">
        <v>5</v>
      </c>
      <c r="O41" s="202">
        <v>13825</v>
      </c>
      <c r="P41" s="152">
        <f t="shared" si="0"/>
        <v>798</v>
      </c>
      <c r="Q41" s="152">
        <f t="shared" si="1"/>
        <v>2594</v>
      </c>
      <c r="R41" s="197">
        <f t="shared" si="2"/>
        <v>10433</v>
      </c>
      <c r="S41" s="152">
        <f t="shared" si="3"/>
        <v>26195</v>
      </c>
      <c r="T41" s="207">
        <f t="shared" si="4"/>
        <v>2.4553868534866588E-2</v>
      </c>
      <c r="U41" s="197">
        <f t="shared" si="5"/>
        <v>0</v>
      </c>
    </row>
    <row r="42" spans="1:21">
      <c r="A42" s="182" t="s">
        <v>259</v>
      </c>
      <c r="B42" s="172">
        <v>340</v>
      </c>
      <c r="C42" s="172">
        <v>14</v>
      </c>
      <c r="D42" s="172">
        <v>69</v>
      </c>
      <c r="E42" s="173">
        <v>1525</v>
      </c>
      <c r="F42" s="172">
        <v>683</v>
      </c>
      <c r="G42" s="193">
        <v>2631</v>
      </c>
      <c r="H42" s="173">
        <v>10902</v>
      </c>
      <c r="I42" s="172">
        <v>0</v>
      </c>
      <c r="J42" s="172">
        <v>26</v>
      </c>
      <c r="K42" s="193">
        <v>10928</v>
      </c>
      <c r="L42" s="172">
        <v>64</v>
      </c>
      <c r="M42" s="172">
        <v>62</v>
      </c>
      <c r="N42" s="172">
        <v>13</v>
      </c>
      <c r="O42" s="202">
        <v>13698</v>
      </c>
      <c r="P42" s="152">
        <f t="shared" si="0"/>
        <v>409</v>
      </c>
      <c r="Q42" s="152">
        <f t="shared" si="1"/>
        <v>2222</v>
      </c>
      <c r="R42" s="197">
        <f t="shared" si="2"/>
        <v>11067</v>
      </c>
      <c r="S42" s="152">
        <f t="shared" si="3"/>
        <v>21823</v>
      </c>
      <c r="T42" s="207">
        <f t="shared" si="4"/>
        <v>2.0455776790852968E-2</v>
      </c>
      <c r="U42" s="197">
        <f t="shared" si="5"/>
        <v>0</v>
      </c>
    </row>
    <row r="43" spans="1:21" ht="12" thickBot="1">
      <c r="A43" s="402" t="s">
        <v>10</v>
      </c>
      <c r="B43" s="259">
        <f t="shared" ref="B43:T43" si="6">SUM(B4:B42)</f>
        <v>24278</v>
      </c>
      <c r="C43" s="259">
        <f t="shared" si="6"/>
        <v>1255</v>
      </c>
      <c r="D43" s="259">
        <f t="shared" si="6"/>
        <v>6068</v>
      </c>
      <c r="E43" s="259">
        <f t="shared" si="6"/>
        <v>54206</v>
      </c>
      <c r="F43" s="259">
        <f t="shared" si="6"/>
        <v>29322</v>
      </c>
      <c r="G43" s="260">
        <f t="shared" si="6"/>
        <v>115129</v>
      </c>
      <c r="H43" s="259">
        <f t="shared" si="6"/>
        <v>486787</v>
      </c>
      <c r="I43" s="259">
        <f t="shared" si="6"/>
        <v>1174</v>
      </c>
      <c r="J43" s="259">
        <f t="shared" si="6"/>
        <v>7220</v>
      </c>
      <c r="K43" s="260">
        <f t="shared" si="6"/>
        <v>495181</v>
      </c>
      <c r="L43" s="259">
        <f t="shared" si="6"/>
        <v>2973</v>
      </c>
      <c r="M43" s="259">
        <f t="shared" si="6"/>
        <v>8207</v>
      </c>
      <c r="N43" s="259">
        <f t="shared" si="6"/>
        <v>2668</v>
      </c>
      <c r="O43" s="261">
        <f t="shared" si="6"/>
        <v>624157</v>
      </c>
      <c r="P43" s="210">
        <f t="shared" si="6"/>
        <v>30346</v>
      </c>
      <c r="Q43" s="210">
        <f t="shared" si="6"/>
        <v>84783</v>
      </c>
      <c r="R43" s="210">
        <f t="shared" si="6"/>
        <v>509029</v>
      </c>
      <c r="S43" s="210">
        <f t="shared" si="6"/>
        <v>1066838</v>
      </c>
      <c r="T43" s="211">
        <f t="shared" si="6"/>
        <v>1</v>
      </c>
      <c r="U43" s="405"/>
    </row>
    <row r="44" spans="1:21">
      <c r="A44" s="269" t="s">
        <v>295</v>
      </c>
      <c r="B44" s="479">
        <f>'Tbl 49 2001'!B43</f>
        <v>23458</v>
      </c>
      <c r="C44" s="479">
        <f>'Tbl 49 2001'!C43</f>
        <v>680</v>
      </c>
      <c r="D44" s="479">
        <f>'Tbl 49 2001'!D43</f>
        <v>6336</v>
      </c>
      <c r="E44" s="479">
        <f>'Tbl 49 2001'!E43</f>
        <v>45464</v>
      </c>
      <c r="F44" s="479">
        <f>'Tbl 49 2001'!F43</f>
        <v>26684</v>
      </c>
      <c r="G44" s="480">
        <f>'Tbl 49 2001'!G43</f>
        <v>102622</v>
      </c>
      <c r="H44" s="479">
        <f>'Tbl 49 2001'!H43</f>
        <v>463026</v>
      </c>
      <c r="I44" s="479">
        <f>'Tbl 49 2001'!I43</f>
        <v>1134</v>
      </c>
      <c r="J44" s="479">
        <f>'Tbl 49 2001'!J43</f>
        <v>7277</v>
      </c>
      <c r="K44" s="480">
        <f>'Tbl 49 2001'!K43</f>
        <v>471437</v>
      </c>
      <c r="L44" s="479">
        <f>'Tbl 49 2001'!L43</f>
        <v>2953</v>
      </c>
      <c r="M44" s="479">
        <f>'Tbl 49 2001'!M43</f>
        <v>6485</v>
      </c>
      <c r="N44" s="479">
        <f>'Tbl 49 2001'!N43</f>
        <v>3096</v>
      </c>
      <c r="O44" s="481">
        <f>'Tbl 49 2001'!O43</f>
        <v>586584</v>
      </c>
      <c r="P44" s="479">
        <f>'Tbl 49 2001'!P43</f>
        <v>29794</v>
      </c>
      <c r="Q44" s="479">
        <f>'Tbl 49 2001'!Q43</f>
        <v>72828</v>
      </c>
      <c r="R44" s="479">
        <f>'Tbl 49 2001'!R43</f>
        <v>483971</v>
      </c>
      <c r="S44" s="479">
        <f>'Tbl 49 2001'!S43</f>
        <v>1000395</v>
      </c>
      <c r="T44" s="215"/>
      <c r="U44" s="215"/>
    </row>
    <row r="45" spans="1:21">
      <c r="A45" s="280" t="s">
        <v>296</v>
      </c>
      <c r="B45" s="207">
        <f t="shared" ref="B45:S45" si="7">(B43-B44)/B44</f>
        <v>3.495609173842612E-2</v>
      </c>
      <c r="C45" s="207">
        <f t="shared" si="7"/>
        <v>0.84558823529411764</v>
      </c>
      <c r="D45" s="207">
        <f t="shared" si="7"/>
        <v>-4.22979797979798E-2</v>
      </c>
      <c r="E45" s="207">
        <f t="shared" si="7"/>
        <v>0.1922840049269752</v>
      </c>
      <c r="F45" s="207">
        <f t="shared" si="7"/>
        <v>9.8860740518662865E-2</v>
      </c>
      <c r="G45" s="208">
        <f t="shared" si="7"/>
        <v>0.1218744518719183</v>
      </c>
      <c r="H45" s="207">
        <f t="shared" si="7"/>
        <v>5.1316772708228049E-2</v>
      </c>
      <c r="I45" s="207">
        <f t="shared" si="7"/>
        <v>3.5273368606701938E-2</v>
      </c>
      <c r="J45" s="207">
        <f t="shared" si="7"/>
        <v>-7.832898172323759E-3</v>
      </c>
      <c r="K45" s="208">
        <f t="shared" si="7"/>
        <v>5.0365160138046018E-2</v>
      </c>
      <c r="L45" s="207">
        <f t="shared" si="7"/>
        <v>6.7727734507280731E-3</v>
      </c>
      <c r="M45" s="207">
        <f t="shared" si="7"/>
        <v>0.26553585196607554</v>
      </c>
      <c r="N45" s="207">
        <f t="shared" si="7"/>
        <v>-0.13824289405684753</v>
      </c>
      <c r="O45" s="209">
        <f t="shared" si="7"/>
        <v>6.4053912142165492E-2</v>
      </c>
      <c r="P45" s="224">
        <f t="shared" si="7"/>
        <v>1.8527220245687051E-2</v>
      </c>
      <c r="Q45" s="224">
        <f t="shared" si="7"/>
        <v>0.16415389685285878</v>
      </c>
      <c r="R45" s="224">
        <f t="shared" si="7"/>
        <v>5.1775829543505708E-2</v>
      </c>
      <c r="S45" s="224">
        <f t="shared" si="7"/>
        <v>6.6416765377675824E-2</v>
      </c>
    </row>
    <row r="46" spans="1:21">
      <c r="A46" s="280"/>
    </row>
    <row r="47" spans="1:21">
      <c r="A47" s="152" t="s">
        <v>260</v>
      </c>
    </row>
    <row r="49" spans="1:15" s="176" customFormat="1">
      <c r="A49" s="184" t="s">
        <v>246</v>
      </c>
      <c r="B49" s="178">
        <v>74</v>
      </c>
      <c r="C49" s="178">
        <v>0</v>
      </c>
      <c r="D49" s="178">
        <v>16</v>
      </c>
      <c r="E49" s="178">
        <v>173</v>
      </c>
      <c r="F49" s="178">
        <v>153</v>
      </c>
      <c r="G49" s="177">
        <v>416</v>
      </c>
      <c r="H49" s="178">
        <v>808</v>
      </c>
      <c r="I49" s="178">
        <v>0</v>
      </c>
      <c r="J49" s="178">
        <v>0</v>
      </c>
      <c r="K49" s="177">
        <v>808</v>
      </c>
      <c r="L49" s="178">
        <v>0</v>
      </c>
      <c r="M49" s="178">
        <v>3</v>
      </c>
      <c r="N49" s="178">
        <v>0</v>
      </c>
      <c r="O49" s="177">
        <v>1227</v>
      </c>
    </row>
    <row r="50" spans="1:15" s="162" customFormat="1">
      <c r="A50" s="185" t="s">
        <v>240</v>
      </c>
      <c r="B50" s="179">
        <v>11</v>
      </c>
      <c r="C50" s="179">
        <v>0</v>
      </c>
      <c r="D50" s="179">
        <v>5</v>
      </c>
      <c r="E50" s="179">
        <v>15</v>
      </c>
      <c r="F50" s="179">
        <v>43</v>
      </c>
      <c r="G50" s="180">
        <v>74</v>
      </c>
      <c r="H50" s="179">
        <v>299</v>
      </c>
      <c r="I50" s="179">
        <v>0</v>
      </c>
      <c r="J50" s="179">
        <v>521</v>
      </c>
      <c r="K50" s="180">
        <v>820</v>
      </c>
      <c r="L50" s="179">
        <v>0</v>
      </c>
      <c r="M50" s="179">
        <v>0</v>
      </c>
      <c r="N50" s="179">
        <v>1</v>
      </c>
      <c r="O50" s="179">
        <v>894</v>
      </c>
    </row>
  </sheetData>
  <autoFilter ref="A3:S3" xr:uid="{00000000-0009-0000-0000-000008000000}">
    <sortState xmlns:xlrd2="http://schemas.microsoft.com/office/spreadsheetml/2017/richdata2" ref="A4:S42">
      <sortCondition ref="A3"/>
    </sortState>
  </autoFilter>
  <hyperlinks>
    <hyperlink ref="A1" location="Index!A1" display="&lt; Back to Index &gt;" xr:uid="{00000000-0004-0000-0800-000000000000}"/>
    <hyperlink ref="E1" location="'Ave weight 1996-2013'!A1" display="Ave weight 1996-2013" xr:uid="{00000000-0004-0000-0800-000001000000}"/>
    <hyperlink ref="U1" location="'Ave weight 1996-2013'!A1" display="Ave weight 1996-2013" xr:uid="{00000000-0004-0000-0800-000002000000}"/>
  </hyperlinks>
  <pageMargins left="0" right="0" top="0.59055118110236227" bottom="0.39370078740157483" header="0.51181102362204722" footer="0.51181102362204722"/>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0"/>
  <sheetViews>
    <sheetView zoomScaleNormal="100" workbookViewId="0">
      <pane xSplit="1" ySplit="3" topLeftCell="G4" activePane="bottomRight" state="frozen"/>
      <selection pane="topRight" activeCell="B1" sqref="B1"/>
      <selection pane="bottomLeft" activeCell="A4" sqref="A4"/>
      <selection pane="bottomRight" activeCell="U1" sqref="U1"/>
    </sheetView>
  </sheetViews>
  <sheetFormatPr defaultColWidth="9.140625" defaultRowHeight="11.25" customHeight="1"/>
  <cols>
    <col min="1" max="1" width="25.42578125" style="147" customWidth="1"/>
    <col min="2" max="14" width="10.28515625" style="145" customWidth="1"/>
    <col min="15" max="15" width="8.42578125" style="145" customWidth="1"/>
    <col min="16" max="17" width="9.140625" style="137"/>
    <col min="18" max="18" width="7.42578125" style="137" customWidth="1"/>
    <col min="19" max="19" width="11.42578125" style="137" bestFit="1" customWidth="1"/>
    <col min="20" max="16384" width="9.140625" style="137"/>
  </cols>
  <sheetData>
    <row r="1" spans="1:21" ht="11.25" customHeight="1">
      <c r="A1" s="288" t="s">
        <v>286</v>
      </c>
      <c r="U1" s="523" t="s">
        <v>304</v>
      </c>
    </row>
    <row r="2" spans="1:21" ht="11.25" customHeight="1">
      <c r="A2" s="502" t="s">
        <v>261</v>
      </c>
      <c r="B2" s="140"/>
    </row>
    <row r="3" spans="1:21" s="182" customFormat="1" ht="33.75">
      <c r="A3" s="430" t="s">
        <v>255</v>
      </c>
      <c r="B3" s="434" t="s">
        <v>0</v>
      </c>
      <c r="C3" s="434" t="s">
        <v>1</v>
      </c>
      <c r="D3" s="434" t="s">
        <v>2</v>
      </c>
      <c r="E3" s="434" t="s">
        <v>256</v>
      </c>
      <c r="F3" s="434" t="s">
        <v>4</v>
      </c>
      <c r="G3" s="435" t="s">
        <v>11</v>
      </c>
      <c r="H3" s="434" t="s">
        <v>5</v>
      </c>
      <c r="I3" s="434" t="s">
        <v>6</v>
      </c>
      <c r="J3" s="434" t="s">
        <v>7</v>
      </c>
      <c r="K3" s="435" t="s">
        <v>12</v>
      </c>
      <c r="L3" s="434" t="s">
        <v>8</v>
      </c>
      <c r="M3" s="434" t="s">
        <v>9</v>
      </c>
      <c r="N3" s="434" t="s">
        <v>252</v>
      </c>
      <c r="O3" s="436" t="s">
        <v>257</v>
      </c>
      <c r="P3" s="447" t="s">
        <v>86</v>
      </c>
      <c r="Q3" s="447" t="s">
        <v>87</v>
      </c>
      <c r="R3" s="447" t="s">
        <v>88</v>
      </c>
      <c r="S3" s="447" t="s">
        <v>89</v>
      </c>
      <c r="T3" s="447" t="s">
        <v>90</v>
      </c>
      <c r="U3" s="448" t="s">
        <v>294</v>
      </c>
    </row>
    <row r="4" spans="1:21" ht="11.25" customHeight="1">
      <c r="A4" s="144" t="s">
        <v>62</v>
      </c>
      <c r="B4" s="146">
        <v>150</v>
      </c>
      <c r="C4" s="146">
        <v>12</v>
      </c>
      <c r="D4" s="146">
        <v>56</v>
      </c>
      <c r="E4" s="146">
        <v>542</v>
      </c>
      <c r="F4" s="146">
        <v>531</v>
      </c>
      <c r="G4" s="217">
        <f t="shared" ref="G4:G43" si="0">SUM(B4:F4)</f>
        <v>1291</v>
      </c>
      <c r="H4" s="146">
        <v>6910</v>
      </c>
      <c r="I4" s="146">
        <v>0</v>
      </c>
      <c r="J4" s="146">
        <v>122</v>
      </c>
      <c r="K4" s="217">
        <f t="shared" ref="K4:K43" si="1">SUM(H4:J4)</f>
        <v>7032</v>
      </c>
      <c r="L4" s="146">
        <v>0</v>
      </c>
      <c r="M4" s="146">
        <v>202</v>
      </c>
      <c r="N4" s="146">
        <v>39</v>
      </c>
      <c r="O4" s="219">
        <v>8564</v>
      </c>
      <c r="P4" s="145">
        <f>B4+D4</f>
        <v>206</v>
      </c>
      <c r="Q4" s="145">
        <f>C4+E4+F4</f>
        <v>1085</v>
      </c>
      <c r="R4" s="145">
        <f>SUM(K4:N4)</f>
        <v>7273</v>
      </c>
      <c r="S4" s="137">
        <f>(10*P4)+(3*Q4)+R4</f>
        <v>12588</v>
      </c>
      <c r="T4" s="235">
        <f>S4/$S$43</f>
        <v>1.1205628807759551E-2</v>
      </c>
      <c r="U4" s="145">
        <f>O4-SUM(P4:R4)</f>
        <v>0</v>
      </c>
    </row>
    <row r="5" spans="1:21" ht="11.25" customHeight="1">
      <c r="A5" s="144" t="s">
        <v>84</v>
      </c>
      <c r="B5" s="146">
        <v>1279</v>
      </c>
      <c r="C5" s="146">
        <v>4</v>
      </c>
      <c r="D5" s="146">
        <v>68</v>
      </c>
      <c r="E5" s="146">
        <v>826</v>
      </c>
      <c r="F5" s="146">
        <v>605</v>
      </c>
      <c r="G5" s="217">
        <f t="shared" si="0"/>
        <v>2782</v>
      </c>
      <c r="H5" s="146">
        <v>7147</v>
      </c>
      <c r="I5" s="146">
        <v>0</v>
      </c>
      <c r="J5" s="146">
        <v>40</v>
      </c>
      <c r="K5" s="217">
        <f t="shared" si="1"/>
        <v>7187</v>
      </c>
      <c r="L5" s="146">
        <v>0</v>
      </c>
      <c r="M5" s="146">
        <v>127</v>
      </c>
      <c r="N5" s="146">
        <v>58</v>
      </c>
      <c r="O5" s="219">
        <v>10152</v>
      </c>
      <c r="P5" s="145">
        <f t="shared" ref="P5:P42" si="2">B5+D5</f>
        <v>1347</v>
      </c>
      <c r="Q5" s="145">
        <f t="shared" ref="Q5:Q42" si="3">C5+E5+F5</f>
        <v>1435</v>
      </c>
      <c r="R5" s="145">
        <f t="shared" ref="R5:R42" si="4">SUM(K5:N5)</f>
        <v>7372</v>
      </c>
      <c r="S5" s="137">
        <f t="shared" ref="S5:S42" si="5">(10*P5)+(3*Q5)+R5</f>
        <v>25147</v>
      </c>
      <c r="T5" s="235">
        <f t="shared" ref="T5:T42" si="6">S5/$S$43</f>
        <v>2.2385442296530778E-2</v>
      </c>
      <c r="U5" s="145">
        <f t="shared" ref="U5:U42" si="7">O5-SUM(P5:R5)</f>
        <v>-2</v>
      </c>
    </row>
    <row r="6" spans="1:21" ht="11.25" customHeight="1">
      <c r="A6" s="144" t="s">
        <v>35</v>
      </c>
      <c r="B6" s="146">
        <v>35</v>
      </c>
      <c r="C6" s="146">
        <v>21</v>
      </c>
      <c r="D6" s="146">
        <v>4</v>
      </c>
      <c r="E6" s="146">
        <v>600</v>
      </c>
      <c r="F6" s="146">
        <v>104</v>
      </c>
      <c r="G6" s="217">
        <f t="shared" si="0"/>
        <v>764</v>
      </c>
      <c r="H6" s="146">
        <v>0</v>
      </c>
      <c r="I6" s="146">
        <v>0</v>
      </c>
      <c r="J6" s="146">
        <v>0</v>
      </c>
      <c r="K6" s="217">
        <f t="shared" si="1"/>
        <v>0</v>
      </c>
      <c r="L6" s="146">
        <v>0</v>
      </c>
      <c r="M6" s="146">
        <v>0</v>
      </c>
      <c r="N6" s="146">
        <v>0</v>
      </c>
      <c r="O6" s="219">
        <v>763</v>
      </c>
      <c r="P6" s="145">
        <f t="shared" si="2"/>
        <v>39</v>
      </c>
      <c r="Q6" s="145">
        <f t="shared" si="3"/>
        <v>725</v>
      </c>
      <c r="R6" s="145">
        <f t="shared" si="4"/>
        <v>0</v>
      </c>
      <c r="S6" s="137">
        <f t="shared" si="5"/>
        <v>2565</v>
      </c>
      <c r="T6" s="235">
        <f t="shared" si="6"/>
        <v>2.2833204553466195E-3</v>
      </c>
      <c r="U6" s="145">
        <f t="shared" si="7"/>
        <v>-1</v>
      </c>
    </row>
    <row r="7" spans="1:21" ht="11.25" customHeight="1">
      <c r="A7" s="144" t="s">
        <v>36</v>
      </c>
      <c r="B7" s="146">
        <v>124</v>
      </c>
      <c r="C7" s="146">
        <v>27</v>
      </c>
      <c r="D7" s="146">
        <v>53</v>
      </c>
      <c r="E7" s="146">
        <v>1406</v>
      </c>
      <c r="F7" s="146">
        <v>1265</v>
      </c>
      <c r="G7" s="217">
        <f t="shared" si="0"/>
        <v>2875</v>
      </c>
      <c r="H7" s="146">
        <v>11342</v>
      </c>
      <c r="I7" s="146">
        <v>0</v>
      </c>
      <c r="J7" s="146">
        <v>83</v>
      </c>
      <c r="K7" s="217">
        <f t="shared" si="1"/>
        <v>11425</v>
      </c>
      <c r="L7" s="146">
        <v>249</v>
      </c>
      <c r="M7" s="146">
        <v>65</v>
      </c>
      <c r="N7" s="146">
        <v>64</v>
      </c>
      <c r="O7" s="219">
        <v>14676</v>
      </c>
      <c r="P7" s="145">
        <f t="shared" si="2"/>
        <v>177</v>
      </c>
      <c r="Q7" s="145">
        <f t="shared" si="3"/>
        <v>2698</v>
      </c>
      <c r="R7" s="145">
        <f t="shared" si="4"/>
        <v>11803</v>
      </c>
      <c r="S7" s="137">
        <f t="shared" si="5"/>
        <v>21667</v>
      </c>
      <c r="T7" s="235">
        <f t="shared" si="6"/>
        <v>1.9287604017931854E-2</v>
      </c>
      <c r="U7" s="145">
        <f t="shared" si="7"/>
        <v>-2</v>
      </c>
    </row>
    <row r="8" spans="1:21" ht="11.25" customHeight="1">
      <c r="A8" s="144" t="s">
        <v>267</v>
      </c>
      <c r="B8" s="146">
        <v>115</v>
      </c>
      <c r="C8" s="146">
        <v>8</v>
      </c>
      <c r="D8" s="146">
        <v>33</v>
      </c>
      <c r="E8" s="146">
        <v>178</v>
      </c>
      <c r="F8" s="146">
        <v>266</v>
      </c>
      <c r="G8" s="217">
        <f t="shared" si="0"/>
        <v>600</v>
      </c>
      <c r="H8" s="146">
        <v>2190</v>
      </c>
      <c r="I8" s="146">
        <v>40</v>
      </c>
      <c r="J8" s="146">
        <v>55</v>
      </c>
      <c r="K8" s="217">
        <f t="shared" si="1"/>
        <v>2285</v>
      </c>
      <c r="L8" s="146">
        <v>228</v>
      </c>
      <c r="M8" s="146">
        <v>17</v>
      </c>
      <c r="N8" s="146">
        <v>13</v>
      </c>
      <c r="O8" s="219">
        <v>3143</v>
      </c>
      <c r="P8" s="145">
        <f t="shared" si="2"/>
        <v>148</v>
      </c>
      <c r="Q8" s="145">
        <f t="shared" si="3"/>
        <v>452</v>
      </c>
      <c r="R8" s="145">
        <f t="shared" si="4"/>
        <v>2543</v>
      </c>
      <c r="S8" s="137">
        <f t="shared" si="5"/>
        <v>5379</v>
      </c>
      <c r="T8" s="235">
        <f t="shared" si="6"/>
        <v>4.7882965806274724E-3</v>
      </c>
      <c r="U8" s="145">
        <f t="shared" si="7"/>
        <v>0</v>
      </c>
    </row>
    <row r="9" spans="1:21" ht="11.25" customHeight="1">
      <c r="A9" s="144" t="s">
        <v>14</v>
      </c>
      <c r="B9" s="146">
        <v>185</v>
      </c>
      <c r="C9" s="146">
        <v>29</v>
      </c>
      <c r="D9" s="146">
        <v>22</v>
      </c>
      <c r="E9" s="146">
        <v>2361</v>
      </c>
      <c r="F9" s="146">
        <v>910</v>
      </c>
      <c r="G9" s="217">
        <f t="shared" si="0"/>
        <v>3507</v>
      </c>
      <c r="H9" s="146">
        <v>13549</v>
      </c>
      <c r="I9" s="146">
        <v>76</v>
      </c>
      <c r="J9" s="146">
        <v>2822</v>
      </c>
      <c r="K9" s="217">
        <f t="shared" si="1"/>
        <v>16447</v>
      </c>
      <c r="L9" s="146">
        <v>85</v>
      </c>
      <c r="M9" s="146">
        <v>869</v>
      </c>
      <c r="N9" s="146">
        <v>13</v>
      </c>
      <c r="O9" s="219">
        <v>20921</v>
      </c>
      <c r="P9" s="145">
        <f t="shared" si="2"/>
        <v>207</v>
      </c>
      <c r="Q9" s="145">
        <f t="shared" si="3"/>
        <v>3300</v>
      </c>
      <c r="R9" s="145">
        <f t="shared" si="4"/>
        <v>17414</v>
      </c>
      <c r="S9" s="137">
        <f t="shared" si="5"/>
        <v>29384</v>
      </c>
      <c r="T9" s="235">
        <f t="shared" si="6"/>
        <v>2.6157149419066304E-2</v>
      </c>
      <c r="U9" s="145">
        <f t="shared" si="7"/>
        <v>0</v>
      </c>
    </row>
    <row r="10" spans="1:21" ht="11.25" customHeight="1">
      <c r="A10" s="144" t="s">
        <v>44</v>
      </c>
      <c r="B10" s="146">
        <v>827</v>
      </c>
      <c r="C10" s="146">
        <v>0</v>
      </c>
      <c r="D10" s="146">
        <v>103</v>
      </c>
      <c r="E10" s="146">
        <v>1766</v>
      </c>
      <c r="F10" s="146">
        <v>978</v>
      </c>
      <c r="G10" s="217">
        <f t="shared" si="0"/>
        <v>3674</v>
      </c>
      <c r="H10" s="146">
        <v>19448</v>
      </c>
      <c r="I10" s="146">
        <v>261</v>
      </c>
      <c r="J10" s="146">
        <v>17</v>
      </c>
      <c r="K10" s="217">
        <f t="shared" si="1"/>
        <v>19726</v>
      </c>
      <c r="L10" s="146">
        <v>142</v>
      </c>
      <c r="M10" s="146">
        <v>945</v>
      </c>
      <c r="N10" s="146">
        <v>25</v>
      </c>
      <c r="O10" s="219">
        <v>24512</v>
      </c>
      <c r="P10" s="145">
        <f t="shared" si="2"/>
        <v>930</v>
      </c>
      <c r="Q10" s="145">
        <f t="shared" si="3"/>
        <v>2744</v>
      </c>
      <c r="R10" s="145">
        <f t="shared" si="4"/>
        <v>20838</v>
      </c>
      <c r="S10" s="137">
        <f t="shared" si="5"/>
        <v>38370</v>
      </c>
      <c r="T10" s="235">
        <f t="shared" si="6"/>
        <v>3.4156337571793295E-2</v>
      </c>
      <c r="U10" s="145">
        <f t="shared" si="7"/>
        <v>0</v>
      </c>
    </row>
    <row r="11" spans="1:21" ht="11.25" customHeight="1">
      <c r="A11" s="144" t="s">
        <v>63</v>
      </c>
      <c r="B11" s="146">
        <v>575</v>
      </c>
      <c r="C11" s="146">
        <v>0</v>
      </c>
      <c r="D11" s="146">
        <v>71</v>
      </c>
      <c r="E11" s="146">
        <v>2012</v>
      </c>
      <c r="F11" s="146">
        <v>1011</v>
      </c>
      <c r="G11" s="217">
        <f t="shared" si="0"/>
        <v>3669</v>
      </c>
      <c r="H11" s="146">
        <v>16468</v>
      </c>
      <c r="I11" s="146">
        <v>20</v>
      </c>
      <c r="J11" s="146">
        <v>186</v>
      </c>
      <c r="K11" s="217">
        <f t="shared" si="1"/>
        <v>16674</v>
      </c>
      <c r="L11" s="146">
        <v>0</v>
      </c>
      <c r="M11" s="146">
        <v>193</v>
      </c>
      <c r="N11" s="146">
        <v>62</v>
      </c>
      <c r="O11" s="219">
        <v>20598</v>
      </c>
      <c r="P11" s="145">
        <f t="shared" si="2"/>
        <v>646</v>
      </c>
      <c r="Q11" s="145">
        <f t="shared" si="3"/>
        <v>3023</v>
      </c>
      <c r="R11" s="145">
        <f t="shared" si="4"/>
        <v>16929</v>
      </c>
      <c r="S11" s="137">
        <f t="shared" si="5"/>
        <v>32458</v>
      </c>
      <c r="T11" s="235">
        <f t="shared" si="6"/>
        <v>2.8893573231828687E-2</v>
      </c>
      <c r="U11" s="145">
        <f t="shared" si="7"/>
        <v>0</v>
      </c>
    </row>
    <row r="12" spans="1:21" ht="11.25" customHeight="1">
      <c r="A12" s="144" t="s">
        <v>45</v>
      </c>
      <c r="B12" s="146">
        <v>280</v>
      </c>
      <c r="C12" s="146">
        <v>94</v>
      </c>
      <c r="D12" s="146">
        <v>119</v>
      </c>
      <c r="E12" s="146">
        <v>863</v>
      </c>
      <c r="F12" s="146">
        <v>990</v>
      </c>
      <c r="G12" s="217">
        <f t="shared" si="0"/>
        <v>2346</v>
      </c>
      <c r="H12" s="146">
        <v>13207</v>
      </c>
      <c r="I12" s="146">
        <v>106</v>
      </c>
      <c r="J12" s="146">
        <v>52</v>
      </c>
      <c r="K12" s="217">
        <f t="shared" si="1"/>
        <v>13365</v>
      </c>
      <c r="L12" s="146">
        <v>106</v>
      </c>
      <c r="M12" s="146">
        <v>7</v>
      </c>
      <c r="N12" s="146">
        <v>66</v>
      </c>
      <c r="O12" s="219">
        <v>15889</v>
      </c>
      <c r="P12" s="145">
        <f t="shared" si="2"/>
        <v>399</v>
      </c>
      <c r="Q12" s="145">
        <f t="shared" si="3"/>
        <v>1947</v>
      </c>
      <c r="R12" s="145">
        <f t="shared" si="4"/>
        <v>13544</v>
      </c>
      <c r="S12" s="137">
        <f t="shared" si="5"/>
        <v>23375</v>
      </c>
      <c r="T12" s="235">
        <f t="shared" si="6"/>
        <v>2.0808037288002821E-2</v>
      </c>
      <c r="U12" s="145">
        <f t="shared" si="7"/>
        <v>-1</v>
      </c>
    </row>
    <row r="13" spans="1:21" ht="11.25" customHeight="1">
      <c r="A13" s="144" t="s">
        <v>74</v>
      </c>
      <c r="B13" s="146">
        <v>488</v>
      </c>
      <c r="C13" s="146">
        <v>26</v>
      </c>
      <c r="D13" s="146">
        <v>102</v>
      </c>
      <c r="E13" s="146">
        <v>642</v>
      </c>
      <c r="F13" s="146">
        <v>356</v>
      </c>
      <c r="G13" s="217">
        <f t="shared" si="0"/>
        <v>1614</v>
      </c>
      <c r="H13" s="146">
        <v>8523</v>
      </c>
      <c r="I13" s="146">
        <v>0</v>
      </c>
      <c r="J13" s="146">
        <v>74</v>
      </c>
      <c r="K13" s="217">
        <f t="shared" si="1"/>
        <v>8597</v>
      </c>
      <c r="L13" s="146">
        <v>0</v>
      </c>
      <c r="M13" s="146">
        <v>80</v>
      </c>
      <c r="N13" s="146">
        <v>156</v>
      </c>
      <c r="O13" s="219">
        <v>10448</v>
      </c>
      <c r="P13" s="145">
        <f t="shared" si="2"/>
        <v>590</v>
      </c>
      <c r="Q13" s="145">
        <f t="shared" si="3"/>
        <v>1024</v>
      </c>
      <c r="R13" s="145">
        <f t="shared" si="4"/>
        <v>8833</v>
      </c>
      <c r="S13" s="137">
        <f t="shared" si="5"/>
        <v>17805</v>
      </c>
      <c r="T13" s="235">
        <f t="shared" si="6"/>
        <v>1.5849715675417764E-2</v>
      </c>
      <c r="U13" s="145">
        <f t="shared" si="7"/>
        <v>1</v>
      </c>
    </row>
    <row r="14" spans="1:21" ht="11.25" customHeight="1">
      <c r="A14" s="144" t="s">
        <v>37</v>
      </c>
      <c r="B14" s="146">
        <v>758</v>
      </c>
      <c r="C14" s="146">
        <v>14</v>
      </c>
      <c r="D14" s="146">
        <v>95</v>
      </c>
      <c r="E14" s="146">
        <v>2173</v>
      </c>
      <c r="F14" s="146">
        <v>431</v>
      </c>
      <c r="G14" s="217">
        <f t="shared" si="0"/>
        <v>3471</v>
      </c>
      <c r="H14" s="146">
        <v>18965</v>
      </c>
      <c r="I14" s="146">
        <v>0</v>
      </c>
      <c r="J14" s="146">
        <v>97</v>
      </c>
      <c r="K14" s="217">
        <f t="shared" si="1"/>
        <v>19062</v>
      </c>
      <c r="L14" s="146">
        <v>0</v>
      </c>
      <c r="M14" s="146">
        <v>790</v>
      </c>
      <c r="N14" s="146">
        <v>42</v>
      </c>
      <c r="O14" s="219">
        <v>23364</v>
      </c>
      <c r="P14" s="145">
        <f t="shared" si="2"/>
        <v>853</v>
      </c>
      <c r="Q14" s="145">
        <f t="shared" si="3"/>
        <v>2618</v>
      </c>
      <c r="R14" s="145">
        <f t="shared" si="4"/>
        <v>19894</v>
      </c>
      <c r="S14" s="137">
        <f t="shared" si="5"/>
        <v>36278</v>
      </c>
      <c r="T14" s="235">
        <f t="shared" si="6"/>
        <v>3.2294073870980378E-2</v>
      </c>
      <c r="U14" s="145">
        <f t="shared" si="7"/>
        <v>-1</v>
      </c>
    </row>
    <row r="15" spans="1:21" ht="11.25" customHeight="1">
      <c r="A15" s="144" t="s">
        <v>38</v>
      </c>
      <c r="B15" s="146">
        <v>407</v>
      </c>
      <c r="C15" s="146">
        <v>26</v>
      </c>
      <c r="D15" s="146">
        <v>89</v>
      </c>
      <c r="E15" s="146">
        <v>343</v>
      </c>
      <c r="F15" s="146">
        <v>196</v>
      </c>
      <c r="G15" s="217">
        <f t="shared" si="0"/>
        <v>1061</v>
      </c>
      <c r="H15" s="146">
        <v>8215</v>
      </c>
      <c r="I15" s="146">
        <v>0</v>
      </c>
      <c r="J15" s="146">
        <v>168</v>
      </c>
      <c r="K15" s="217">
        <f t="shared" si="1"/>
        <v>8383</v>
      </c>
      <c r="L15" s="146">
        <v>37</v>
      </c>
      <c r="M15" s="146">
        <v>282</v>
      </c>
      <c r="N15" s="146">
        <v>0</v>
      </c>
      <c r="O15" s="219">
        <v>9764</v>
      </c>
      <c r="P15" s="145">
        <f t="shared" si="2"/>
        <v>496</v>
      </c>
      <c r="Q15" s="145">
        <f t="shared" si="3"/>
        <v>565</v>
      </c>
      <c r="R15" s="145">
        <f t="shared" si="4"/>
        <v>8702</v>
      </c>
      <c r="S15" s="137">
        <f t="shared" si="5"/>
        <v>15357</v>
      </c>
      <c r="T15" s="235">
        <f t="shared" si="6"/>
        <v>1.3670546679437831E-2</v>
      </c>
      <c r="U15" s="145">
        <f t="shared" si="7"/>
        <v>1</v>
      </c>
    </row>
    <row r="16" spans="1:21" ht="11.25" customHeight="1">
      <c r="A16" s="144" t="s">
        <v>26</v>
      </c>
      <c r="B16" s="146">
        <v>675</v>
      </c>
      <c r="C16" s="146">
        <v>18</v>
      </c>
      <c r="D16" s="146">
        <v>176</v>
      </c>
      <c r="E16" s="146">
        <v>1561</v>
      </c>
      <c r="F16" s="146">
        <v>1480</v>
      </c>
      <c r="G16" s="217">
        <f t="shared" si="0"/>
        <v>3910</v>
      </c>
      <c r="H16" s="146">
        <v>16495</v>
      </c>
      <c r="I16" s="146">
        <v>0</v>
      </c>
      <c r="J16" s="146">
        <v>10</v>
      </c>
      <c r="K16" s="217">
        <f t="shared" si="1"/>
        <v>16505</v>
      </c>
      <c r="L16" s="146">
        <v>1</v>
      </c>
      <c r="M16" s="146">
        <v>83</v>
      </c>
      <c r="N16" s="146">
        <v>166</v>
      </c>
      <c r="O16" s="219">
        <v>20664</v>
      </c>
      <c r="P16" s="145">
        <f t="shared" si="2"/>
        <v>851</v>
      </c>
      <c r="Q16" s="145">
        <f t="shared" si="3"/>
        <v>3059</v>
      </c>
      <c r="R16" s="145">
        <f t="shared" si="4"/>
        <v>16755</v>
      </c>
      <c r="S16" s="137">
        <f t="shared" si="5"/>
        <v>34442</v>
      </c>
      <c r="T16" s="235">
        <f t="shared" si="6"/>
        <v>3.0659697123995428E-2</v>
      </c>
      <c r="U16" s="145">
        <f t="shared" si="7"/>
        <v>-1</v>
      </c>
    </row>
    <row r="17" spans="1:21" ht="11.25" customHeight="1">
      <c r="A17" s="144" t="s">
        <v>15</v>
      </c>
      <c r="B17" s="146">
        <v>597</v>
      </c>
      <c r="C17" s="146">
        <v>0</v>
      </c>
      <c r="D17" s="146">
        <v>149</v>
      </c>
      <c r="E17" s="146">
        <v>3172</v>
      </c>
      <c r="F17" s="146">
        <v>1088</v>
      </c>
      <c r="G17" s="217">
        <f t="shared" si="0"/>
        <v>5006</v>
      </c>
      <c r="H17" s="146">
        <v>13053</v>
      </c>
      <c r="I17" s="146">
        <v>0</v>
      </c>
      <c r="J17" s="146">
        <v>97</v>
      </c>
      <c r="K17" s="217">
        <f t="shared" si="1"/>
        <v>13150</v>
      </c>
      <c r="L17" s="146">
        <v>0</v>
      </c>
      <c r="M17" s="146">
        <v>809</v>
      </c>
      <c r="N17" s="146">
        <v>23</v>
      </c>
      <c r="O17" s="219">
        <v>18988</v>
      </c>
      <c r="P17" s="145">
        <f t="shared" si="2"/>
        <v>746</v>
      </c>
      <c r="Q17" s="145">
        <f t="shared" si="3"/>
        <v>4260</v>
      </c>
      <c r="R17" s="145">
        <f t="shared" si="4"/>
        <v>13982</v>
      </c>
      <c r="S17" s="137">
        <f t="shared" si="5"/>
        <v>34222</v>
      </c>
      <c r="T17" s="235">
        <f t="shared" si="6"/>
        <v>3.0463856773049518E-2</v>
      </c>
      <c r="U17" s="145">
        <f t="shared" si="7"/>
        <v>0</v>
      </c>
    </row>
    <row r="18" spans="1:21" ht="11.25" customHeight="1">
      <c r="A18" s="144" t="s">
        <v>28</v>
      </c>
      <c r="B18" s="146">
        <v>1611</v>
      </c>
      <c r="C18" s="146">
        <v>0</v>
      </c>
      <c r="D18" s="146">
        <v>480</v>
      </c>
      <c r="E18" s="146">
        <v>4677</v>
      </c>
      <c r="F18" s="146">
        <v>1682</v>
      </c>
      <c r="G18" s="217">
        <f t="shared" si="0"/>
        <v>8450</v>
      </c>
      <c r="H18" s="146">
        <v>29603</v>
      </c>
      <c r="I18" s="146">
        <v>0</v>
      </c>
      <c r="J18" s="146">
        <v>327</v>
      </c>
      <c r="K18" s="217">
        <f t="shared" si="1"/>
        <v>29930</v>
      </c>
      <c r="L18" s="146">
        <v>0</v>
      </c>
      <c r="M18" s="146">
        <v>370</v>
      </c>
      <c r="N18" s="146">
        <v>82</v>
      </c>
      <c r="O18" s="219">
        <v>38833</v>
      </c>
      <c r="P18" s="145">
        <f t="shared" si="2"/>
        <v>2091</v>
      </c>
      <c r="Q18" s="145">
        <f t="shared" si="3"/>
        <v>6359</v>
      </c>
      <c r="R18" s="145">
        <f t="shared" si="4"/>
        <v>30382</v>
      </c>
      <c r="S18" s="137">
        <f t="shared" si="5"/>
        <v>70369</v>
      </c>
      <c r="T18" s="235">
        <f t="shared" si="6"/>
        <v>6.2641316616875747E-2</v>
      </c>
      <c r="U18" s="145">
        <f t="shared" si="7"/>
        <v>1</v>
      </c>
    </row>
    <row r="19" spans="1:21" ht="11.25" customHeight="1">
      <c r="A19" s="144" t="s">
        <v>46</v>
      </c>
      <c r="B19" s="146">
        <v>495</v>
      </c>
      <c r="C19" s="146">
        <v>10</v>
      </c>
      <c r="D19" s="146">
        <v>67</v>
      </c>
      <c r="E19" s="146">
        <v>309</v>
      </c>
      <c r="F19" s="146">
        <v>472</v>
      </c>
      <c r="G19" s="217">
        <f t="shared" si="0"/>
        <v>1353</v>
      </c>
      <c r="H19" s="146">
        <v>7584</v>
      </c>
      <c r="I19" s="146">
        <v>0</v>
      </c>
      <c r="J19" s="146">
        <v>0</v>
      </c>
      <c r="K19" s="217">
        <f t="shared" si="1"/>
        <v>7584</v>
      </c>
      <c r="L19" s="146">
        <v>61</v>
      </c>
      <c r="M19" s="146">
        <v>30</v>
      </c>
      <c r="N19" s="146">
        <v>132</v>
      </c>
      <c r="O19" s="219">
        <v>9159</v>
      </c>
      <c r="P19" s="145">
        <f t="shared" si="2"/>
        <v>562</v>
      </c>
      <c r="Q19" s="145">
        <f t="shared" si="3"/>
        <v>791</v>
      </c>
      <c r="R19" s="145">
        <f t="shared" si="4"/>
        <v>7807</v>
      </c>
      <c r="S19" s="137">
        <f t="shared" si="5"/>
        <v>15800</v>
      </c>
      <c r="T19" s="235">
        <f t="shared" si="6"/>
        <v>1.4064897931569821E-2</v>
      </c>
      <c r="U19" s="145">
        <f t="shared" si="7"/>
        <v>-1</v>
      </c>
    </row>
    <row r="20" spans="1:21" ht="11.25" customHeight="1">
      <c r="A20" s="144" t="s">
        <v>39</v>
      </c>
      <c r="B20" s="146">
        <v>680</v>
      </c>
      <c r="C20" s="146">
        <v>3</v>
      </c>
      <c r="D20" s="146">
        <v>180</v>
      </c>
      <c r="E20" s="146">
        <v>1756</v>
      </c>
      <c r="F20" s="146">
        <v>1223</v>
      </c>
      <c r="G20" s="217">
        <f t="shared" si="0"/>
        <v>3842</v>
      </c>
      <c r="H20" s="146">
        <v>23618</v>
      </c>
      <c r="I20" s="146">
        <v>35</v>
      </c>
      <c r="J20" s="146">
        <v>185</v>
      </c>
      <c r="K20" s="217">
        <f t="shared" si="1"/>
        <v>23838</v>
      </c>
      <c r="L20" s="146">
        <v>0</v>
      </c>
      <c r="M20" s="146">
        <v>408</v>
      </c>
      <c r="N20" s="146">
        <v>100</v>
      </c>
      <c r="O20" s="219">
        <v>28187</v>
      </c>
      <c r="P20" s="145">
        <f t="shared" si="2"/>
        <v>860</v>
      </c>
      <c r="Q20" s="145">
        <f t="shared" si="3"/>
        <v>2982</v>
      </c>
      <c r="R20" s="145">
        <f t="shared" si="4"/>
        <v>24346</v>
      </c>
      <c r="S20" s="137">
        <f t="shared" si="5"/>
        <v>41892</v>
      </c>
      <c r="T20" s="235">
        <f t="shared" si="6"/>
        <v>3.7291563553754618E-2</v>
      </c>
      <c r="U20" s="145">
        <f t="shared" si="7"/>
        <v>-1</v>
      </c>
    </row>
    <row r="21" spans="1:21" ht="11.25" customHeight="1">
      <c r="A21" s="144" t="s">
        <v>258</v>
      </c>
      <c r="B21" s="146">
        <v>724</v>
      </c>
      <c r="C21" s="146">
        <v>11</v>
      </c>
      <c r="D21" s="146">
        <v>406</v>
      </c>
      <c r="E21" s="146">
        <v>3148</v>
      </c>
      <c r="F21" s="146">
        <v>1046</v>
      </c>
      <c r="G21" s="217">
        <f t="shared" si="0"/>
        <v>5335</v>
      </c>
      <c r="H21" s="146">
        <v>21785</v>
      </c>
      <c r="I21" s="146">
        <v>0</v>
      </c>
      <c r="J21" s="146">
        <v>0</v>
      </c>
      <c r="K21" s="217">
        <f t="shared" si="1"/>
        <v>21785</v>
      </c>
      <c r="L21" s="146">
        <v>0</v>
      </c>
      <c r="M21" s="146">
        <v>209</v>
      </c>
      <c r="N21" s="146">
        <v>51</v>
      </c>
      <c r="O21" s="219">
        <v>27381</v>
      </c>
      <c r="P21" s="145">
        <f t="shared" si="2"/>
        <v>1130</v>
      </c>
      <c r="Q21" s="145">
        <f t="shared" si="3"/>
        <v>4205</v>
      </c>
      <c r="R21" s="145">
        <f t="shared" si="4"/>
        <v>22045</v>
      </c>
      <c r="S21" s="137">
        <f t="shared" si="5"/>
        <v>45960</v>
      </c>
      <c r="T21" s="235">
        <f t="shared" si="6"/>
        <v>4.0912829679427151E-2</v>
      </c>
      <c r="U21" s="145">
        <f t="shared" si="7"/>
        <v>1</v>
      </c>
    </row>
    <row r="22" spans="1:21" ht="11.25" customHeight="1">
      <c r="A22" s="144" t="s">
        <v>16</v>
      </c>
      <c r="B22" s="146">
        <v>263</v>
      </c>
      <c r="C22" s="146">
        <v>0</v>
      </c>
      <c r="D22" s="146">
        <v>44</v>
      </c>
      <c r="E22" s="146">
        <v>543</v>
      </c>
      <c r="F22" s="146">
        <v>332</v>
      </c>
      <c r="G22" s="217">
        <f t="shared" si="0"/>
        <v>1182</v>
      </c>
      <c r="H22" s="146">
        <v>6206</v>
      </c>
      <c r="I22" s="146">
        <v>288</v>
      </c>
      <c r="J22" s="146">
        <v>0</v>
      </c>
      <c r="K22" s="217">
        <f t="shared" si="1"/>
        <v>6494</v>
      </c>
      <c r="L22" s="146">
        <v>10</v>
      </c>
      <c r="M22" s="146">
        <v>51</v>
      </c>
      <c r="N22" s="146">
        <v>121</v>
      </c>
      <c r="O22" s="219">
        <v>7857</v>
      </c>
      <c r="P22" s="145">
        <f t="shared" si="2"/>
        <v>307</v>
      </c>
      <c r="Q22" s="145">
        <f t="shared" si="3"/>
        <v>875</v>
      </c>
      <c r="R22" s="145">
        <f t="shared" si="4"/>
        <v>6676</v>
      </c>
      <c r="S22" s="137">
        <f t="shared" si="5"/>
        <v>12371</v>
      </c>
      <c r="T22" s="235">
        <f t="shared" si="6"/>
        <v>1.1012459007053813E-2</v>
      </c>
      <c r="U22" s="145">
        <f t="shared" si="7"/>
        <v>-1</v>
      </c>
    </row>
    <row r="23" spans="1:21" ht="11.25" customHeight="1">
      <c r="A23" s="144" t="s">
        <v>30</v>
      </c>
      <c r="B23" s="146">
        <v>319</v>
      </c>
      <c r="C23" s="146">
        <v>0</v>
      </c>
      <c r="D23" s="146">
        <v>67</v>
      </c>
      <c r="E23" s="146">
        <v>1448</v>
      </c>
      <c r="F23" s="146">
        <v>677</v>
      </c>
      <c r="G23" s="217">
        <f t="shared" si="0"/>
        <v>2511</v>
      </c>
      <c r="H23" s="146">
        <v>7658</v>
      </c>
      <c r="I23" s="146">
        <v>0</v>
      </c>
      <c r="J23" s="146">
        <v>0</v>
      </c>
      <c r="K23" s="217">
        <f t="shared" si="1"/>
        <v>7658</v>
      </c>
      <c r="L23" s="146">
        <v>0</v>
      </c>
      <c r="M23" s="146">
        <v>0</v>
      </c>
      <c r="N23" s="146">
        <v>7</v>
      </c>
      <c r="O23" s="219">
        <v>10177</v>
      </c>
      <c r="P23" s="145">
        <f t="shared" si="2"/>
        <v>386</v>
      </c>
      <c r="Q23" s="145">
        <f t="shared" si="3"/>
        <v>2125</v>
      </c>
      <c r="R23" s="145">
        <f t="shared" si="4"/>
        <v>7665</v>
      </c>
      <c r="S23" s="137">
        <f t="shared" si="5"/>
        <v>17900</v>
      </c>
      <c r="T23" s="235">
        <f t="shared" si="6"/>
        <v>1.5934283099689861E-2</v>
      </c>
      <c r="U23" s="145">
        <f t="shared" si="7"/>
        <v>1</v>
      </c>
    </row>
    <row r="24" spans="1:21" ht="11.25" customHeight="1">
      <c r="A24" s="144" t="s">
        <v>75</v>
      </c>
      <c r="B24" s="146">
        <v>991</v>
      </c>
      <c r="C24" s="146">
        <v>29</v>
      </c>
      <c r="D24" s="146">
        <v>148</v>
      </c>
      <c r="E24" s="146">
        <v>736</v>
      </c>
      <c r="F24" s="146">
        <v>611</v>
      </c>
      <c r="G24" s="217">
        <f t="shared" si="0"/>
        <v>2515</v>
      </c>
      <c r="H24" s="146">
        <v>10885</v>
      </c>
      <c r="I24" s="146">
        <v>0</v>
      </c>
      <c r="J24" s="146">
        <v>200</v>
      </c>
      <c r="K24" s="217">
        <f t="shared" si="1"/>
        <v>11085</v>
      </c>
      <c r="L24" s="146">
        <v>31</v>
      </c>
      <c r="M24" s="146">
        <v>156</v>
      </c>
      <c r="N24" s="146">
        <v>122</v>
      </c>
      <c r="O24" s="219">
        <v>13909</v>
      </c>
      <c r="P24" s="145">
        <f t="shared" si="2"/>
        <v>1139</v>
      </c>
      <c r="Q24" s="145">
        <f t="shared" si="3"/>
        <v>1376</v>
      </c>
      <c r="R24" s="145">
        <f t="shared" si="4"/>
        <v>11394</v>
      </c>
      <c r="S24" s="137">
        <f t="shared" si="5"/>
        <v>26912</v>
      </c>
      <c r="T24" s="235">
        <f t="shared" si="6"/>
        <v>2.3956616021165E-2</v>
      </c>
      <c r="U24" s="145">
        <f t="shared" si="7"/>
        <v>0</v>
      </c>
    </row>
    <row r="25" spans="1:21" ht="11.25" customHeight="1">
      <c r="A25" s="144" t="s">
        <v>32</v>
      </c>
      <c r="B25" s="146">
        <v>101</v>
      </c>
      <c r="C25" s="146">
        <v>0</v>
      </c>
      <c r="D25" s="146">
        <v>17</v>
      </c>
      <c r="E25" s="146">
        <v>899</v>
      </c>
      <c r="F25" s="146">
        <v>253</v>
      </c>
      <c r="G25" s="217">
        <f t="shared" si="0"/>
        <v>1270</v>
      </c>
      <c r="H25" s="146">
        <v>4079</v>
      </c>
      <c r="I25" s="146">
        <v>0</v>
      </c>
      <c r="J25" s="146">
        <v>0</v>
      </c>
      <c r="K25" s="217">
        <f t="shared" si="1"/>
        <v>4079</v>
      </c>
      <c r="L25" s="146">
        <v>10</v>
      </c>
      <c r="M25" s="146">
        <v>26</v>
      </c>
      <c r="N25" s="146">
        <v>4</v>
      </c>
      <c r="O25" s="219">
        <v>5386</v>
      </c>
      <c r="P25" s="145">
        <f t="shared" si="2"/>
        <v>118</v>
      </c>
      <c r="Q25" s="145">
        <f t="shared" si="3"/>
        <v>1152</v>
      </c>
      <c r="R25" s="145">
        <f t="shared" si="4"/>
        <v>4119</v>
      </c>
      <c r="S25" s="137">
        <f t="shared" si="5"/>
        <v>8755</v>
      </c>
      <c r="T25" s="235">
        <f t="shared" si="6"/>
        <v>7.7935557842337836E-3</v>
      </c>
      <c r="U25" s="145">
        <f t="shared" si="7"/>
        <v>-3</v>
      </c>
    </row>
    <row r="26" spans="1:21" ht="11.25" customHeight="1">
      <c r="A26" s="144" t="s">
        <v>60</v>
      </c>
      <c r="B26" s="146">
        <v>128</v>
      </c>
      <c r="C26" s="146">
        <v>2</v>
      </c>
      <c r="D26" s="146">
        <v>34</v>
      </c>
      <c r="E26" s="146">
        <v>826</v>
      </c>
      <c r="F26" s="146">
        <v>582</v>
      </c>
      <c r="G26" s="217">
        <f t="shared" si="0"/>
        <v>1572</v>
      </c>
      <c r="H26" s="146">
        <v>6091</v>
      </c>
      <c r="I26" s="146">
        <v>0</v>
      </c>
      <c r="J26" s="146">
        <v>1</v>
      </c>
      <c r="K26" s="217">
        <f t="shared" si="1"/>
        <v>6092</v>
      </c>
      <c r="L26" s="146">
        <v>10</v>
      </c>
      <c r="M26" s="146">
        <v>68</v>
      </c>
      <c r="N26" s="146">
        <v>47</v>
      </c>
      <c r="O26" s="219">
        <v>7789</v>
      </c>
      <c r="P26" s="145">
        <f t="shared" si="2"/>
        <v>162</v>
      </c>
      <c r="Q26" s="145">
        <f t="shared" si="3"/>
        <v>1410</v>
      </c>
      <c r="R26" s="145">
        <f t="shared" si="4"/>
        <v>6217</v>
      </c>
      <c r="S26" s="137">
        <f t="shared" si="5"/>
        <v>12067</v>
      </c>
      <c r="T26" s="235">
        <f t="shared" si="6"/>
        <v>1.0741843249383104E-2</v>
      </c>
      <c r="U26" s="145">
        <f t="shared" si="7"/>
        <v>0</v>
      </c>
    </row>
    <row r="27" spans="1:21" ht="11.25" customHeight="1">
      <c r="A27" s="144" t="s">
        <v>76</v>
      </c>
      <c r="B27" s="146">
        <v>2264</v>
      </c>
      <c r="C27" s="146">
        <v>95</v>
      </c>
      <c r="D27" s="146">
        <v>661</v>
      </c>
      <c r="E27" s="146">
        <v>2590</v>
      </c>
      <c r="F27" s="146">
        <v>2185</v>
      </c>
      <c r="G27" s="217">
        <f t="shared" si="0"/>
        <v>7795</v>
      </c>
      <c r="H27" s="146">
        <v>24430</v>
      </c>
      <c r="I27" s="146">
        <v>0</v>
      </c>
      <c r="J27" s="146">
        <v>541</v>
      </c>
      <c r="K27" s="217">
        <f t="shared" si="1"/>
        <v>24971</v>
      </c>
      <c r="L27" s="146">
        <v>0</v>
      </c>
      <c r="M27" s="146">
        <v>1</v>
      </c>
      <c r="N27" s="146">
        <v>103</v>
      </c>
      <c r="O27" s="219">
        <v>32869</v>
      </c>
      <c r="P27" s="145">
        <f t="shared" si="2"/>
        <v>2925</v>
      </c>
      <c r="Q27" s="145">
        <f t="shared" si="3"/>
        <v>4870</v>
      </c>
      <c r="R27" s="145">
        <f t="shared" si="4"/>
        <v>25075</v>
      </c>
      <c r="S27" s="137">
        <f t="shared" si="5"/>
        <v>68935</v>
      </c>
      <c r="T27" s="235">
        <f t="shared" si="6"/>
        <v>6.1364793602073774E-2</v>
      </c>
      <c r="U27" s="145">
        <f t="shared" si="7"/>
        <v>-1</v>
      </c>
    </row>
    <row r="28" spans="1:21" ht="11.25" customHeight="1">
      <c r="A28" s="144" t="s">
        <v>77</v>
      </c>
      <c r="B28" s="146">
        <v>348</v>
      </c>
      <c r="C28" s="146">
        <v>21</v>
      </c>
      <c r="D28" s="146">
        <v>105</v>
      </c>
      <c r="E28" s="146">
        <v>679</v>
      </c>
      <c r="F28" s="146">
        <v>841</v>
      </c>
      <c r="G28" s="217">
        <f t="shared" si="0"/>
        <v>1994</v>
      </c>
      <c r="H28" s="146">
        <v>7639</v>
      </c>
      <c r="I28" s="146">
        <v>0</v>
      </c>
      <c r="J28" s="146">
        <v>133</v>
      </c>
      <c r="K28" s="217">
        <f t="shared" si="1"/>
        <v>7772</v>
      </c>
      <c r="L28" s="146">
        <v>12</v>
      </c>
      <c r="M28" s="146">
        <v>40</v>
      </c>
      <c r="N28" s="146">
        <v>101</v>
      </c>
      <c r="O28" s="219">
        <v>9919</v>
      </c>
      <c r="P28" s="145">
        <f t="shared" si="2"/>
        <v>453</v>
      </c>
      <c r="Q28" s="145">
        <f t="shared" si="3"/>
        <v>1541</v>
      </c>
      <c r="R28" s="145">
        <f t="shared" si="4"/>
        <v>7925</v>
      </c>
      <c r="S28" s="137">
        <f t="shared" si="5"/>
        <v>17078</v>
      </c>
      <c r="T28" s="235">
        <f t="shared" si="6"/>
        <v>1.5202552333882874E-2</v>
      </c>
      <c r="U28" s="145">
        <f t="shared" si="7"/>
        <v>0</v>
      </c>
    </row>
    <row r="29" spans="1:21" ht="11.25" customHeight="1">
      <c r="A29" s="144" t="s">
        <v>78</v>
      </c>
      <c r="B29" s="146">
        <v>1733</v>
      </c>
      <c r="C29" s="146">
        <v>0</v>
      </c>
      <c r="D29" s="146">
        <v>383</v>
      </c>
      <c r="E29" s="146">
        <v>4272</v>
      </c>
      <c r="F29" s="146">
        <v>987</v>
      </c>
      <c r="G29" s="217">
        <f t="shared" si="0"/>
        <v>7375</v>
      </c>
      <c r="H29" s="146">
        <v>21340</v>
      </c>
      <c r="I29" s="146">
        <v>0</v>
      </c>
      <c r="J29" s="146">
        <v>7</v>
      </c>
      <c r="K29" s="217">
        <f t="shared" si="1"/>
        <v>21347</v>
      </c>
      <c r="L29" s="146">
        <v>0</v>
      </c>
      <c r="M29" s="146">
        <v>563</v>
      </c>
      <c r="N29" s="146">
        <v>55</v>
      </c>
      <c r="O29" s="219">
        <v>29341</v>
      </c>
      <c r="P29" s="145">
        <f t="shared" si="2"/>
        <v>2116</v>
      </c>
      <c r="Q29" s="145">
        <f t="shared" si="3"/>
        <v>5259</v>
      </c>
      <c r="R29" s="145">
        <f t="shared" si="4"/>
        <v>21965</v>
      </c>
      <c r="S29" s="137">
        <f t="shared" si="5"/>
        <v>58902</v>
      </c>
      <c r="T29" s="235">
        <f t="shared" si="6"/>
        <v>5.2433583415526938E-2</v>
      </c>
      <c r="U29" s="145">
        <f t="shared" si="7"/>
        <v>1</v>
      </c>
    </row>
    <row r="30" spans="1:21" ht="11.25" customHeight="1">
      <c r="A30" s="225" t="s">
        <v>79</v>
      </c>
      <c r="B30" s="226">
        <f>574+B49</f>
        <v>650</v>
      </c>
      <c r="C30" s="226">
        <f>11+C49</f>
        <v>17</v>
      </c>
      <c r="D30" s="226">
        <f>258+D49</f>
        <v>272</v>
      </c>
      <c r="E30" s="226">
        <f>963+E49</f>
        <v>1139</v>
      </c>
      <c r="F30" s="226">
        <f>563+F49</f>
        <v>709</v>
      </c>
      <c r="G30" s="232">
        <f t="shared" si="0"/>
        <v>2787</v>
      </c>
      <c r="H30" s="226">
        <f>13742+H49</f>
        <v>14666</v>
      </c>
      <c r="I30" s="226">
        <v>0</v>
      </c>
      <c r="J30" s="226">
        <v>0</v>
      </c>
      <c r="K30" s="232">
        <f t="shared" si="1"/>
        <v>14666</v>
      </c>
      <c r="L30" s="226">
        <v>1032</v>
      </c>
      <c r="M30" s="226">
        <f>239+M49</f>
        <v>249</v>
      </c>
      <c r="N30" s="226">
        <v>20</v>
      </c>
      <c r="O30" s="234">
        <f>17401+O49</f>
        <v>18754</v>
      </c>
      <c r="P30" s="145">
        <f t="shared" si="2"/>
        <v>922</v>
      </c>
      <c r="Q30" s="145">
        <f t="shared" si="3"/>
        <v>1865</v>
      </c>
      <c r="R30" s="145">
        <f t="shared" si="4"/>
        <v>15967</v>
      </c>
      <c r="S30" s="137">
        <f t="shared" si="5"/>
        <v>30782</v>
      </c>
      <c r="T30" s="235">
        <f t="shared" si="6"/>
        <v>2.7401625830986216E-2</v>
      </c>
      <c r="U30" s="145">
        <f t="shared" si="7"/>
        <v>0</v>
      </c>
    </row>
    <row r="31" spans="1:21" ht="11.25" customHeight="1">
      <c r="A31" s="144" t="s">
        <v>80</v>
      </c>
      <c r="B31" s="146">
        <v>25</v>
      </c>
      <c r="C31" s="146">
        <v>0</v>
      </c>
      <c r="D31" s="146">
        <v>3</v>
      </c>
      <c r="E31" s="146">
        <v>230</v>
      </c>
      <c r="F31" s="146">
        <v>111</v>
      </c>
      <c r="G31" s="217">
        <f t="shared" si="0"/>
        <v>369</v>
      </c>
      <c r="H31" s="146">
        <v>1926</v>
      </c>
      <c r="I31" s="146">
        <v>0</v>
      </c>
      <c r="J31" s="146">
        <v>104</v>
      </c>
      <c r="K31" s="217">
        <f t="shared" si="1"/>
        <v>2030</v>
      </c>
      <c r="L31" s="146">
        <v>0</v>
      </c>
      <c r="M31" s="146">
        <v>55</v>
      </c>
      <c r="N31" s="146">
        <v>3</v>
      </c>
      <c r="O31" s="219">
        <v>2456</v>
      </c>
      <c r="P31" s="145">
        <f t="shared" si="2"/>
        <v>28</v>
      </c>
      <c r="Q31" s="145">
        <f t="shared" si="3"/>
        <v>341</v>
      </c>
      <c r="R31" s="145">
        <f t="shared" si="4"/>
        <v>2088</v>
      </c>
      <c r="S31" s="137">
        <f t="shared" si="5"/>
        <v>3391</v>
      </c>
      <c r="T31" s="235">
        <f t="shared" si="6"/>
        <v>3.0186119548071683E-3</v>
      </c>
      <c r="U31" s="145">
        <f t="shared" si="7"/>
        <v>-1</v>
      </c>
    </row>
    <row r="32" spans="1:21" ht="11.25" customHeight="1">
      <c r="A32" s="144" t="s">
        <v>81</v>
      </c>
      <c r="B32" s="146">
        <v>2267</v>
      </c>
      <c r="C32" s="146">
        <v>41</v>
      </c>
      <c r="D32" s="146">
        <v>394</v>
      </c>
      <c r="E32" s="146">
        <v>2490</v>
      </c>
      <c r="F32" s="146">
        <v>723</v>
      </c>
      <c r="G32" s="217">
        <f t="shared" si="0"/>
        <v>5915</v>
      </c>
      <c r="H32" s="146">
        <v>22568</v>
      </c>
      <c r="I32" s="146">
        <v>0</v>
      </c>
      <c r="J32" s="146">
        <v>300</v>
      </c>
      <c r="K32" s="217">
        <f t="shared" si="1"/>
        <v>22868</v>
      </c>
      <c r="L32" s="146">
        <v>0</v>
      </c>
      <c r="M32" s="146">
        <v>528</v>
      </c>
      <c r="N32" s="146">
        <v>80</v>
      </c>
      <c r="O32" s="219">
        <v>29391</v>
      </c>
      <c r="P32" s="145">
        <f t="shared" si="2"/>
        <v>2661</v>
      </c>
      <c r="Q32" s="145">
        <f t="shared" si="3"/>
        <v>3254</v>
      </c>
      <c r="R32" s="145">
        <f t="shared" si="4"/>
        <v>23476</v>
      </c>
      <c r="S32" s="137">
        <f t="shared" si="5"/>
        <v>59848</v>
      </c>
      <c r="T32" s="235">
        <f t="shared" si="6"/>
        <v>5.3275696924594343E-2</v>
      </c>
      <c r="U32" s="145">
        <f t="shared" si="7"/>
        <v>0</v>
      </c>
    </row>
    <row r="33" spans="1:21" ht="11.25" customHeight="1">
      <c r="A33" s="144" t="s">
        <v>52</v>
      </c>
      <c r="B33" s="146">
        <v>600</v>
      </c>
      <c r="C33" s="146">
        <v>470</v>
      </c>
      <c r="D33" s="146">
        <v>83</v>
      </c>
      <c r="E33" s="146">
        <v>2826</v>
      </c>
      <c r="F33" s="146">
        <v>652</v>
      </c>
      <c r="G33" s="217">
        <f t="shared" si="0"/>
        <v>4631</v>
      </c>
      <c r="H33" s="146">
        <v>16231</v>
      </c>
      <c r="I33" s="146">
        <v>0</v>
      </c>
      <c r="J33" s="146">
        <v>317</v>
      </c>
      <c r="K33" s="217">
        <f t="shared" si="1"/>
        <v>16548</v>
      </c>
      <c r="L33" s="146">
        <v>83</v>
      </c>
      <c r="M33" s="146">
        <v>64</v>
      </c>
      <c r="N33" s="146">
        <v>59</v>
      </c>
      <c r="O33" s="219">
        <v>21384</v>
      </c>
      <c r="P33" s="145">
        <f t="shared" si="2"/>
        <v>683</v>
      </c>
      <c r="Q33" s="145">
        <f t="shared" si="3"/>
        <v>3948</v>
      </c>
      <c r="R33" s="145">
        <f t="shared" si="4"/>
        <v>16754</v>
      </c>
      <c r="S33" s="137">
        <f t="shared" si="5"/>
        <v>35428</v>
      </c>
      <c r="T33" s="235">
        <f t="shared" si="6"/>
        <v>3.1537417969598455E-2</v>
      </c>
      <c r="U33" s="145">
        <f t="shared" si="7"/>
        <v>-1</v>
      </c>
    </row>
    <row r="34" spans="1:21" ht="11.25" customHeight="1">
      <c r="A34" s="144" t="s">
        <v>41</v>
      </c>
      <c r="B34" s="146">
        <v>98</v>
      </c>
      <c r="C34" s="146">
        <v>29</v>
      </c>
      <c r="D34" s="146">
        <v>20</v>
      </c>
      <c r="E34" s="146">
        <v>1535</v>
      </c>
      <c r="F34" s="146">
        <v>738</v>
      </c>
      <c r="G34" s="217">
        <f t="shared" si="0"/>
        <v>2420</v>
      </c>
      <c r="H34" s="146">
        <v>7924</v>
      </c>
      <c r="I34" s="146">
        <v>205</v>
      </c>
      <c r="J34" s="146">
        <v>229</v>
      </c>
      <c r="K34" s="217">
        <f t="shared" si="1"/>
        <v>8358</v>
      </c>
      <c r="L34" s="146">
        <v>239</v>
      </c>
      <c r="M34" s="146">
        <v>533</v>
      </c>
      <c r="N34" s="146">
        <v>152</v>
      </c>
      <c r="O34" s="219">
        <v>11704</v>
      </c>
      <c r="P34" s="145">
        <f t="shared" si="2"/>
        <v>118</v>
      </c>
      <c r="Q34" s="145">
        <f t="shared" si="3"/>
        <v>2302</v>
      </c>
      <c r="R34" s="145">
        <f t="shared" si="4"/>
        <v>9282</v>
      </c>
      <c r="S34" s="137">
        <f t="shared" si="5"/>
        <v>17368</v>
      </c>
      <c r="T34" s="235">
        <f t="shared" si="6"/>
        <v>1.5460705523766117E-2</v>
      </c>
      <c r="U34" s="145">
        <f t="shared" si="7"/>
        <v>2</v>
      </c>
    </row>
    <row r="35" spans="1:21" ht="11.25" customHeight="1">
      <c r="A35" s="144" t="s">
        <v>82</v>
      </c>
      <c r="B35" s="146">
        <v>2096</v>
      </c>
      <c r="C35" s="146">
        <v>22</v>
      </c>
      <c r="D35" s="146">
        <v>553</v>
      </c>
      <c r="E35" s="146">
        <v>3752</v>
      </c>
      <c r="F35" s="146">
        <v>1236</v>
      </c>
      <c r="G35" s="217">
        <f t="shared" si="0"/>
        <v>7659</v>
      </c>
      <c r="H35" s="146">
        <v>27653</v>
      </c>
      <c r="I35" s="146">
        <v>0</v>
      </c>
      <c r="J35" s="146">
        <v>185</v>
      </c>
      <c r="K35" s="217">
        <f t="shared" si="1"/>
        <v>27838</v>
      </c>
      <c r="L35" s="146">
        <v>59</v>
      </c>
      <c r="M35" s="146">
        <v>634</v>
      </c>
      <c r="N35" s="146">
        <v>449</v>
      </c>
      <c r="O35" s="219">
        <v>36640</v>
      </c>
      <c r="P35" s="145">
        <f t="shared" si="2"/>
        <v>2649</v>
      </c>
      <c r="Q35" s="145">
        <f t="shared" si="3"/>
        <v>5010</v>
      </c>
      <c r="R35" s="145">
        <f t="shared" si="4"/>
        <v>28980</v>
      </c>
      <c r="S35" s="137">
        <f t="shared" si="5"/>
        <v>70500</v>
      </c>
      <c r="T35" s="235">
        <f t="shared" si="6"/>
        <v>6.2757930644029902E-2</v>
      </c>
      <c r="U35" s="145">
        <f t="shared" si="7"/>
        <v>1</v>
      </c>
    </row>
    <row r="36" spans="1:21" ht="11.25" customHeight="1">
      <c r="A36" s="229" t="s">
        <v>54</v>
      </c>
      <c r="B36" s="230">
        <f>573+B50</f>
        <v>588</v>
      </c>
      <c r="C36" s="230">
        <v>3</v>
      </c>
      <c r="D36" s="230">
        <f>114+D50</f>
        <v>119</v>
      </c>
      <c r="E36" s="230">
        <f>178+E50</f>
        <v>189</v>
      </c>
      <c r="F36" s="230">
        <f>234+F50</f>
        <v>266</v>
      </c>
      <c r="G36" s="218">
        <f t="shared" si="0"/>
        <v>1165</v>
      </c>
      <c r="H36" s="230">
        <f>9944+H50</f>
        <v>10263</v>
      </c>
      <c r="I36" s="230">
        <v>0</v>
      </c>
      <c r="J36" s="230">
        <f>65+J50</f>
        <v>591</v>
      </c>
      <c r="K36" s="218">
        <f t="shared" si="1"/>
        <v>10854</v>
      </c>
      <c r="L36" s="230">
        <v>228</v>
      </c>
      <c r="M36" s="230">
        <v>5</v>
      </c>
      <c r="N36" s="230">
        <f>89+N50</f>
        <v>92</v>
      </c>
      <c r="O36" s="220">
        <f>11432+O50</f>
        <v>12343</v>
      </c>
      <c r="P36" s="145">
        <f t="shared" si="2"/>
        <v>707</v>
      </c>
      <c r="Q36" s="145">
        <f t="shared" si="3"/>
        <v>458</v>
      </c>
      <c r="R36" s="145">
        <f t="shared" si="4"/>
        <v>11179</v>
      </c>
      <c r="S36" s="137">
        <f t="shared" si="5"/>
        <v>19623</v>
      </c>
      <c r="T36" s="235">
        <f t="shared" si="6"/>
        <v>1.7468069120961684E-2</v>
      </c>
      <c r="U36" s="145">
        <f t="shared" si="7"/>
        <v>-1</v>
      </c>
    </row>
    <row r="37" spans="1:21" ht="11.25" customHeight="1">
      <c r="A37" s="144" t="s">
        <v>21</v>
      </c>
      <c r="B37" s="146">
        <v>612</v>
      </c>
      <c r="C37" s="146">
        <v>0</v>
      </c>
      <c r="D37" s="146">
        <v>147</v>
      </c>
      <c r="E37" s="146">
        <v>3713</v>
      </c>
      <c r="F37" s="146">
        <v>1525</v>
      </c>
      <c r="G37" s="217">
        <f t="shared" si="0"/>
        <v>5997</v>
      </c>
      <c r="H37" s="146">
        <v>14511</v>
      </c>
      <c r="I37" s="146">
        <v>0</v>
      </c>
      <c r="J37" s="146">
        <v>305</v>
      </c>
      <c r="K37" s="217">
        <f t="shared" si="1"/>
        <v>14816</v>
      </c>
      <c r="L37" s="146">
        <v>161</v>
      </c>
      <c r="M37" s="146">
        <v>54</v>
      </c>
      <c r="N37" s="146">
        <v>48</v>
      </c>
      <c r="O37" s="219">
        <v>21076</v>
      </c>
      <c r="P37" s="145">
        <f t="shared" si="2"/>
        <v>759</v>
      </c>
      <c r="Q37" s="145">
        <f t="shared" si="3"/>
        <v>5238</v>
      </c>
      <c r="R37" s="145">
        <f t="shared" si="4"/>
        <v>15079</v>
      </c>
      <c r="S37" s="137">
        <f t="shared" si="5"/>
        <v>38383</v>
      </c>
      <c r="T37" s="235">
        <f t="shared" si="6"/>
        <v>3.4167909956167371E-2</v>
      </c>
      <c r="U37" s="145">
        <f t="shared" si="7"/>
        <v>0</v>
      </c>
    </row>
    <row r="38" spans="1:21" ht="11.25" customHeight="1">
      <c r="A38" s="144" t="s">
        <v>42</v>
      </c>
      <c r="B38" s="146">
        <v>33</v>
      </c>
      <c r="C38" s="146">
        <v>0</v>
      </c>
      <c r="D38" s="146">
        <v>11</v>
      </c>
      <c r="E38" s="146">
        <v>148</v>
      </c>
      <c r="F38" s="146">
        <v>41</v>
      </c>
      <c r="G38" s="217">
        <f t="shared" si="0"/>
        <v>233</v>
      </c>
      <c r="H38" s="146">
        <v>2347</v>
      </c>
      <c r="I38" s="146">
        <v>0</v>
      </c>
      <c r="J38" s="146">
        <v>0</v>
      </c>
      <c r="K38" s="217">
        <f t="shared" si="1"/>
        <v>2347</v>
      </c>
      <c r="L38" s="146">
        <v>0</v>
      </c>
      <c r="M38" s="146">
        <v>103</v>
      </c>
      <c r="N38" s="146">
        <v>19</v>
      </c>
      <c r="O38" s="219">
        <v>2701</v>
      </c>
      <c r="P38" s="145">
        <f t="shared" si="2"/>
        <v>44</v>
      </c>
      <c r="Q38" s="145">
        <f t="shared" si="3"/>
        <v>189</v>
      </c>
      <c r="R38" s="145">
        <f t="shared" si="4"/>
        <v>2469</v>
      </c>
      <c r="S38" s="137">
        <f t="shared" si="5"/>
        <v>3476</v>
      </c>
      <c r="T38" s="235">
        <f t="shared" si="6"/>
        <v>3.0942775449453604E-3</v>
      </c>
      <c r="U38" s="145">
        <f t="shared" si="7"/>
        <v>-1</v>
      </c>
    </row>
    <row r="39" spans="1:21" ht="11.25" customHeight="1">
      <c r="A39" s="144" t="s">
        <v>83</v>
      </c>
      <c r="B39" s="146">
        <v>1119</v>
      </c>
      <c r="C39" s="146">
        <v>0</v>
      </c>
      <c r="D39" s="146">
        <v>240</v>
      </c>
      <c r="E39" s="146">
        <v>759</v>
      </c>
      <c r="F39" s="146">
        <v>482</v>
      </c>
      <c r="G39" s="217">
        <f t="shared" si="0"/>
        <v>2600</v>
      </c>
      <c r="H39" s="146">
        <v>10843</v>
      </c>
      <c r="I39" s="146">
        <v>0</v>
      </c>
      <c r="J39" s="146">
        <v>21</v>
      </c>
      <c r="K39" s="217">
        <f t="shared" si="1"/>
        <v>10864</v>
      </c>
      <c r="L39" s="146">
        <v>34</v>
      </c>
      <c r="M39" s="146">
        <v>2</v>
      </c>
      <c r="N39" s="146">
        <v>136</v>
      </c>
      <c r="O39" s="219">
        <v>13637</v>
      </c>
      <c r="P39" s="145">
        <f t="shared" si="2"/>
        <v>1359</v>
      </c>
      <c r="Q39" s="145">
        <f t="shared" si="3"/>
        <v>1241</v>
      </c>
      <c r="R39" s="145">
        <f t="shared" si="4"/>
        <v>11036</v>
      </c>
      <c r="S39" s="137">
        <f t="shared" si="5"/>
        <v>28349</v>
      </c>
      <c r="T39" s="235">
        <f t="shared" si="6"/>
        <v>2.5235809586207143E-2</v>
      </c>
      <c r="U39" s="145">
        <f t="shared" si="7"/>
        <v>1</v>
      </c>
    </row>
    <row r="40" spans="1:21" ht="11.25" customHeight="1">
      <c r="A40" s="144" t="s">
        <v>22</v>
      </c>
      <c r="B40" s="146">
        <v>487</v>
      </c>
      <c r="C40" s="146">
        <v>1</v>
      </c>
      <c r="D40" s="146">
        <v>101</v>
      </c>
      <c r="E40" s="146">
        <v>2485</v>
      </c>
      <c r="F40" s="146">
        <v>916</v>
      </c>
      <c r="G40" s="217">
        <f t="shared" si="0"/>
        <v>3990</v>
      </c>
      <c r="H40" s="146">
        <v>21461</v>
      </c>
      <c r="I40" s="146">
        <v>0</v>
      </c>
      <c r="J40" s="146">
        <v>159</v>
      </c>
      <c r="K40" s="217">
        <f t="shared" si="1"/>
        <v>21620</v>
      </c>
      <c r="L40" s="146">
        <v>0</v>
      </c>
      <c r="M40" s="146">
        <v>343</v>
      </c>
      <c r="N40" s="146">
        <v>11</v>
      </c>
      <c r="O40" s="219">
        <v>25965</v>
      </c>
      <c r="P40" s="145">
        <f t="shared" si="2"/>
        <v>588</v>
      </c>
      <c r="Q40" s="145">
        <f t="shared" si="3"/>
        <v>3402</v>
      </c>
      <c r="R40" s="145">
        <f t="shared" si="4"/>
        <v>21974</v>
      </c>
      <c r="S40" s="137">
        <f t="shared" si="5"/>
        <v>38060</v>
      </c>
      <c r="T40" s="235">
        <f t="shared" si="6"/>
        <v>3.3880380713642237E-2</v>
      </c>
      <c r="U40" s="145">
        <f t="shared" si="7"/>
        <v>1</v>
      </c>
    </row>
    <row r="41" spans="1:21" ht="11.25" customHeight="1">
      <c r="A41" s="144" t="s">
        <v>23</v>
      </c>
      <c r="B41" s="146">
        <v>692</v>
      </c>
      <c r="C41" s="146">
        <v>11</v>
      </c>
      <c r="D41" s="146">
        <v>151</v>
      </c>
      <c r="E41" s="146">
        <v>2377</v>
      </c>
      <c r="F41" s="146">
        <v>562</v>
      </c>
      <c r="G41" s="217">
        <f t="shared" si="0"/>
        <v>3793</v>
      </c>
      <c r="H41" s="146">
        <v>10784</v>
      </c>
      <c r="I41" s="146">
        <v>0</v>
      </c>
      <c r="J41" s="146">
        <v>0</v>
      </c>
      <c r="K41" s="217">
        <f t="shared" si="1"/>
        <v>10784</v>
      </c>
      <c r="L41" s="146">
        <v>62</v>
      </c>
      <c r="M41" s="146">
        <v>353</v>
      </c>
      <c r="N41" s="146">
        <v>8</v>
      </c>
      <c r="O41" s="219">
        <v>15000</v>
      </c>
      <c r="P41" s="145">
        <f t="shared" si="2"/>
        <v>843</v>
      </c>
      <c r="Q41" s="145">
        <f t="shared" si="3"/>
        <v>2950</v>
      </c>
      <c r="R41" s="145">
        <f t="shared" si="4"/>
        <v>11207</v>
      </c>
      <c r="S41" s="137">
        <f t="shared" si="5"/>
        <v>28487</v>
      </c>
      <c r="T41" s="235">
        <f t="shared" si="6"/>
        <v>2.5358654897255032E-2</v>
      </c>
      <c r="U41" s="145">
        <f t="shared" si="7"/>
        <v>0</v>
      </c>
    </row>
    <row r="42" spans="1:21" ht="11.25" customHeight="1">
      <c r="A42" s="144" t="s">
        <v>259</v>
      </c>
      <c r="B42" s="146">
        <v>330</v>
      </c>
      <c r="C42" s="146">
        <v>16</v>
      </c>
      <c r="D42" s="146">
        <v>52</v>
      </c>
      <c r="E42" s="146">
        <v>2131</v>
      </c>
      <c r="F42" s="146">
        <v>623</v>
      </c>
      <c r="G42" s="217">
        <f t="shared" si="0"/>
        <v>3152</v>
      </c>
      <c r="H42" s="146">
        <v>11297</v>
      </c>
      <c r="I42" s="146">
        <v>0</v>
      </c>
      <c r="J42" s="146">
        <v>34</v>
      </c>
      <c r="K42" s="217">
        <f t="shared" si="1"/>
        <v>11331</v>
      </c>
      <c r="L42" s="146">
        <v>85</v>
      </c>
      <c r="M42" s="146">
        <v>130</v>
      </c>
      <c r="N42" s="146">
        <v>15</v>
      </c>
      <c r="O42" s="219">
        <v>14713</v>
      </c>
      <c r="P42" s="145">
        <f t="shared" si="2"/>
        <v>382</v>
      </c>
      <c r="Q42" s="145">
        <f t="shared" si="3"/>
        <v>2770</v>
      </c>
      <c r="R42" s="145">
        <f t="shared" si="4"/>
        <v>11561</v>
      </c>
      <c r="S42" s="137">
        <f t="shared" si="5"/>
        <v>23691</v>
      </c>
      <c r="T42" s="235">
        <f t="shared" si="6"/>
        <v>2.1089335246634217E-2</v>
      </c>
      <c r="U42" s="145">
        <f t="shared" si="7"/>
        <v>0</v>
      </c>
    </row>
    <row r="43" spans="1:21" ht="12" thickBot="1">
      <c r="A43" s="402" t="s">
        <v>10</v>
      </c>
      <c r="B43" s="259">
        <f>SUM(B4:B42)</f>
        <v>25749</v>
      </c>
      <c r="C43" s="259">
        <f>SUM(C4:C42)</f>
        <v>1060</v>
      </c>
      <c r="D43" s="259">
        <f>SUM(D4:D42)</f>
        <v>5878</v>
      </c>
      <c r="E43" s="259">
        <f>SUM(E4:E42)</f>
        <v>64102</v>
      </c>
      <c r="F43" s="259">
        <f>SUM(F4:F42)</f>
        <v>29686</v>
      </c>
      <c r="G43" s="260">
        <f t="shared" si="0"/>
        <v>126475</v>
      </c>
      <c r="H43" s="259">
        <f>SUM(H4:H42)</f>
        <v>498904</v>
      </c>
      <c r="I43" s="259">
        <f>SUM(I4:I42)</f>
        <v>1031</v>
      </c>
      <c r="J43" s="259">
        <f>SUM(J4:J42)</f>
        <v>7462</v>
      </c>
      <c r="K43" s="260">
        <f t="shared" si="1"/>
        <v>507397</v>
      </c>
      <c r="L43" s="259">
        <f t="shared" ref="L43:U43" si="8">SUM(L4:L42)</f>
        <v>2965</v>
      </c>
      <c r="M43" s="259">
        <f t="shared" si="8"/>
        <v>9444</v>
      </c>
      <c r="N43" s="259">
        <f t="shared" si="8"/>
        <v>2744</v>
      </c>
      <c r="O43" s="261">
        <f t="shared" si="8"/>
        <v>649017</v>
      </c>
      <c r="P43" s="259">
        <f t="shared" si="8"/>
        <v>31627</v>
      </c>
      <c r="Q43" s="259">
        <f t="shared" si="8"/>
        <v>94848</v>
      </c>
      <c r="R43" s="259">
        <f t="shared" si="8"/>
        <v>522550</v>
      </c>
      <c r="S43" s="259">
        <f t="shared" si="8"/>
        <v>1123364</v>
      </c>
      <c r="T43" s="236">
        <f t="shared" si="8"/>
        <v>1</v>
      </c>
      <c r="U43" s="259">
        <f t="shared" si="8"/>
        <v>-8</v>
      </c>
    </row>
    <row r="44" spans="1:21" ht="11.25" customHeight="1">
      <c r="A44" s="144" t="s">
        <v>297</v>
      </c>
      <c r="B44" s="146">
        <f>'Tbl 37 2002'!B43</f>
        <v>24278</v>
      </c>
      <c r="C44" s="146">
        <f>'Tbl 37 2002'!C43</f>
        <v>1255</v>
      </c>
      <c r="D44" s="146">
        <f>'Tbl 37 2002'!D43</f>
        <v>6068</v>
      </c>
      <c r="E44" s="146">
        <f>'Tbl 37 2002'!E43</f>
        <v>54206</v>
      </c>
      <c r="F44" s="146">
        <f>'Tbl 37 2002'!F43</f>
        <v>29322</v>
      </c>
      <c r="G44" s="217">
        <f>'Tbl 37 2002'!G43</f>
        <v>115129</v>
      </c>
      <c r="H44" s="146">
        <f>'Tbl 37 2002'!H43</f>
        <v>486787</v>
      </c>
      <c r="I44" s="146">
        <f>'Tbl 37 2002'!I43</f>
        <v>1174</v>
      </c>
      <c r="J44" s="146">
        <f>'Tbl 37 2002'!J43</f>
        <v>7220</v>
      </c>
      <c r="K44" s="217">
        <f>'Tbl 37 2002'!K43</f>
        <v>495181</v>
      </c>
      <c r="L44" s="146">
        <f>'Tbl 37 2002'!L43</f>
        <v>2973</v>
      </c>
      <c r="M44" s="146">
        <f>'Tbl 37 2002'!M43</f>
        <v>8207</v>
      </c>
      <c r="N44" s="146">
        <f>'Tbl 37 2002'!N43</f>
        <v>2668</v>
      </c>
      <c r="O44" s="219">
        <f>'Tbl 37 2002'!O43</f>
        <v>624157</v>
      </c>
      <c r="P44" s="228">
        <f>'Tbl 37 2002'!P43</f>
        <v>30346</v>
      </c>
      <c r="Q44" s="228">
        <f>'Tbl 37 2002'!Q43</f>
        <v>84783</v>
      </c>
      <c r="R44" s="228">
        <f>'Tbl 37 2002'!R43</f>
        <v>509029</v>
      </c>
      <c r="S44" s="228">
        <f>'Tbl 37 2002'!S43</f>
        <v>1066838</v>
      </c>
    </row>
    <row r="45" spans="1:21" ht="11.25" customHeight="1">
      <c r="A45" s="147" t="s">
        <v>298</v>
      </c>
      <c r="B45" s="223">
        <f>(B43-B44)/B44</f>
        <v>6.0589834417991595E-2</v>
      </c>
      <c r="C45" s="223">
        <f t="shared" ref="C45:S45" si="9">(C43-C44)/C44</f>
        <v>-0.15537848605577689</v>
      </c>
      <c r="D45" s="223">
        <f t="shared" si="9"/>
        <v>-3.1311799604482535E-2</v>
      </c>
      <c r="E45" s="223">
        <f t="shared" si="9"/>
        <v>0.18256281592443641</v>
      </c>
      <c r="F45" s="223">
        <f t="shared" si="9"/>
        <v>1.2413887183684606E-2</v>
      </c>
      <c r="G45" s="233">
        <f t="shared" si="9"/>
        <v>9.8550321812922892E-2</v>
      </c>
      <c r="H45" s="223">
        <f t="shared" si="9"/>
        <v>2.489179045455199E-2</v>
      </c>
      <c r="I45" s="223">
        <f t="shared" si="9"/>
        <v>-0.12180579216354344</v>
      </c>
      <c r="J45" s="223">
        <f t="shared" si="9"/>
        <v>3.3518005540166207E-2</v>
      </c>
      <c r="K45" s="233">
        <f t="shared" si="9"/>
        <v>2.4669767216431972E-2</v>
      </c>
      <c r="L45" s="223">
        <f t="shared" si="9"/>
        <v>-2.6908846283215607E-3</v>
      </c>
      <c r="M45" s="223">
        <f t="shared" si="9"/>
        <v>0.15072499086145974</v>
      </c>
      <c r="N45" s="223">
        <f t="shared" si="9"/>
        <v>2.8485757121439279E-2</v>
      </c>
      <c r="O45" s="237">
        <f t="shared" si="9"/>
        <v>3.9829722329477998E-2</v>
      </c>
      <c r="P45" s="231">
        <f>(P43-P44)/P44</f>
        <v>4.2213141764977265E-2</v>
      </c>
      <c r="Q45" s="231">
        <f t="shared" si="9"/>
        <v>0.1187148367007537</v>
      </c>
      <c r="R45" s="231">
        <f t="shared" si="9"/>
        <v>2.656233731280536E-2</v>
      </c>
      <c r="S45" s="231">
        <f t="shared" si="9"/>
        <v>5.2984614346320624E-2</v>
      </c>
    </row>
    <row r="46" spans="1:21" ht="11.25" customHeight="1">
      <c r="A46" s="137"/>
    </row>
    <row r="47" spans="1:21" ht="11.25" customHeight="1">
      <c r="A47" s="138" t="s">
        <v>260</v>
      </c>
    </row>
    <row r="49" spans="1:15" ht="11.25" customHeight="1">
      <c r="A49" s="225" t="s">
        <v>246</v>
      </c>
      <c r="B49" s="226">
        <v>76</v>
      </c>
      <c r="C49" s="226">
        <v>6</v>
      </c>
      <c r="D49" s="226">
        <v>14</v>
      </c>
      <c r="E49" s="226">
        <v>176</v>
      </c>
      <c r="F49" s="226">
        <v>146</v>
      </c>
      <c r="G49" s="226">
        <f>SUM(B49:F49)</f>
        <v>418</v>
      </c>
      <c r="H49" s="226">
        <v>924</v>
      </c>
      <c r="I49" s="226">
        <v>0</v>
      </c>
      <c r="J49" s="226">
        <v>0</v>
      </c>
      <c r="K49" s="226">
        <f>SUM(H49:J49)</f>
        <v>924</v>
      </c>
      <c r="L49" s="226">
        <v>0</v>
      </c>
      <c r="M49" s="226">
        <v>10</v>
      </c>
      <c r="N49" s="226">
        <v>0</v>
      </c>
      <c r="O49" s="226">
        <v>1353</v>
      </c>
    </row>
    <row r="50" spans="1:15" ht="11.25" customHeight="1">
      <c r="A50" s="227" t="s">
        <v>240</v>
      </c>
      <c r="B50" s="216">
        <v>15</v>
      </c>
      <c r="C50" s="216">
        <v>0</v>
      </c>
      <c r="D50" s="216">
        <v>5</v>
      </c>
      <c r="E50" s="216">
        <v>11</v>
      </c>
      <c r="F50" s="216">
        <v>32</v>
      </c>
      <c r="G50" s="216">
        <f>SUM(B50:F50)</f>
        <v>63</v>
      </c>
      <c r="H50" s="216">
        <v>319</v>
      </c>
      <c r="I50" s="216">
        <v>0</v>
      </c>
      <c r="J50" s="216">
        <v>526</v>
      </c>
      <c r="K50" s="216">
        <f>SUM(H50:J50)</f>
        <v>845</v>
      </c>
      <c r="L50" s="216">
        <v>0</v>
      </c>
      <c r="M50" s="216">
        <v>0</v>
      </c>
      <c r="N50" s="216">
        <v>3</v>
      </c>
      <c r="O50" s="146">
        <v>911</v>
      </c>
    </row>
  </sheetData>
  <autoFilter ref="A3:S3" xr:uid="{00000000-0009-0000-0000-000009000000}">
    <sortState xmlns:xlrd2="http://schemas.microsoft.com/office/spreadsheetml/2017/richdata2" ref="A4:S42">
      <sortCondition ref="A3"/>
    </sortState>
  </autoFilter>
  <hyperlinks>
    <hyperlink ref="A1" location="Index!A1" display="&lt; Back to Index &gt;" xr:uid="{00000000-0004-0000-0900-000000000000}"/>
    <hyperlink ref="U1" location="'Ave weight 1996-2013'!A1" display="Ave weight 1996-2013" xr:uid="{00000000-0004-0000-0900-000001000000}"/>
  </hyperlinks>
  <pageMargins left="0.35433070866141736" right="0.35433070866141736" top="0.98425196850393704" bottom="0.98425196850393704" header="0.51181102362204722" footer="0.51181102362204722"/>
  <pageSetup paperSize="9" scale="7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49"/>
  <sheetViews>
    <sheetView zoomScaleNormal="100" workbookViewId="0">
      <pane xSplit="1" ySplit="3" topLeftCell="H4" activePane="bottomRight" state="frozen"/>
      <selection pane="topRight" activeCell="B1" sqref="B1"/>
      <selection pane="bottomLeft" activeCell="A5" sqref="A5"/>
      <selection pane="bottomRight" activeCell="U1" sqref="U1"/>
    </sheetView>
  </sheetViews>
  <sheetFormatPr defaultColWidth="9.140625" defaultRowHeight="11.25" customHeight="1"/>
  <cols>
    <col min="1" max="1" width="26.7109375" style="147" customWidth="1"/>
    <col min="2" max="15" width="10.28515625" style="145" customWidth="1"/>
    <col min="16" max="16" width="9.140625" style="137"/>
    <col min="17" max="17" width="11.42578125" style="137" bestFit="1" customWidth="1"/>
    <col min="18" max="18" width="9.42578125" style="137" bestFit="1" customWidth="1"/>
    <col min="19" max="19" width="11.42578125" style="137" bestFit="1" customWidth="1"/>
    <col min="20" max="16384" width="9.140625" style="137"/>
  </cols>
  <sheetData>
    <row r="1" spans="1:21" ht="11.25" customHeight="1">
      <c r="A1" s="288" t="s">
        <v>286</v>
      </c>
      <c r="H1" s="523" t="s">
        <v>304</v>
      </c>
      <c r="U1" s="523" t="s">
        <v>304</v>
      </c>
    </row>
    <row r="2" spans="1:21" ht="11.25" customHeight="1">
      <c r="A2" s="503" t="s">
        <v>254</v>
      </c>
      <c r="B2" s="140"/>
    </row>
    <row r="3" spans="1:21" s="182" customFormat="1" ht="33.75">
      <c r="A3" s="430" t="s">
        <v>255</v>
      </c>
      <c r="B3" s="434" t="s">
        <v>0</v>
      </c>
      <c r="C3" s="434" t="s">
        <v>1</v>
      </c>
      <c r="D3" s="434" t="s">
        <v>2</v>
      </c>
      <c r="E3" s="434" t="s">
        <v>256</v>
      </c>
      <c r="F3" s="434" t="s">
        <v>4</v>
      </c>
      <c r="G3" s="435" t="s">
        <v>11</v>
      </c>
      <c r="H3" s="434" t="s">
        <v>5</v>
      </c>
      <c r="I3" s="434" t="s">
        <v>6</v>
      </c>
      <c r="J3" s="434" t="s">
        <v>7</v>
      </c>
      <c r="K3" s="435" t="s">
        <v>12</v>
      </c>
      <c r="L3" s="434" t="s">
        <v>8</v>
      </c>
      <c r="M3" s="434" t="s">
        <v>9</v>
      </c>
      <c r="N3" s="434" t="s">
        <v>252</v>
      </c>
      <c r="O3" s="436" t="s">
        <v>257</v>
      </c>
      <c r="P3" s="447" t="s">
        <v>86</v>
      </c>
      <c r="Q3" s="447" t="s">
        <v>87</v>
      </c>
      <c r="R3" s="447" t="s">
        <v>88</v>
      </c>
      <c r="S3" s="447" t="s">
        <v>89</v>
      </c>
      <c r="T3" s="447" t="s">
        <v>90</v>
      </c>
      <c r="U3" s="448" t="s">
        <v>294</v>
      </c>
    </row>
    <row r="4" spans="1:21" ht="11.25" customHeight="1">
      <c r="A4" s="144" t="s">
        <v>62</v>
      </c>
      <c r="B4" s="146">
        <v>160</v>
      </c>
      <c r="C4" s="146">
        <v>11</v>
      </c>
      <c r="D4" s="146">
        <v>45</v>
      </c>
      <c r="E4" s="146">
        <v>539</v>
      </c>
      <c r="F4" s="146">
        <v>618</v>
      </c>
      <c r="G4" s="217">
        <f t="shared" ref="G4:G43" si="0">SUM(B4:F4)</f>
        <v>1373</v>
      </c>
      <c r="H4" s="146">
        <v>7113</v>
      </c>
      <c r="I4" s="146">
        <v>0</v>
      </c>
      <c r="J4" s="146">
        <v>160</v>
      </c>
      <c r="K4" s="217">
        <f t="shared" ref="K4:K43" si="1">SUM(H4:J4)</f>
        <v>7273</v>
      </c>
      <c r="L4" s="146">
        <v>0</v>
      </c>
      <c r="M4" s="146">
        <v>254</v>
      </c>
      <c r="N4" s="146">
        <v>47</v>
      </c>
      <c r="O4" s="219">
        <v>8947</v>
      </c>
      <c r="P4" s="145">
        <f>B4+D4</f>
        <v>205</v>
      </c>
      <c r="Q4" s="145">
        <f>C4+E4+F4</f>
        <v>1168</v>
      </c>
      <c r="R4" s="145">
        <f>SUM(K4:N4)</f>
        <v>7574</v>
      </c>
      <c r="S4" s="137">
        <f>(10*P4)+(3*Q4)+R4</f>
        <v>13128</v>
      </c>
      <c r="T4" s="235">
        <f>S4/$S$43</f>
        <v>1.1321184274523196E-2</v>
      </c>
      <c r="U4" s="145">
        <f>O4-SUM(P4:R4)</f>
        <v>0</v>
      </c>
    </row>
    <row r="5" spans="1:21" ht="11.25" customHeight="1">
      <c r="A5" s="144" t="s">
        <v>84</v>
      </c>
      <c r="B5" s="146">
        <v>1544</v>
      </c>
      <c r="C5" s="146">
        <v>6</v>
      </c>
      <c r="D5" s="146">
        <v>77</v>
      </c>
      <c r="E5" s="146">
        <v>1059</v>
      </c>
      <c r="F5" s="146">
        <v>676</v>
      </c>
      <c r="G5" s="217">
        <f t="shared" si="0"/>
        <v>3362</v>
      </c>
      <c r="H5" s="146">
        <v>7373</v>
      </c>
      <c r="I5" s="146">
        <v>0</v>
      </c>
      <c r="J5" s="146">
        <v>36</v>
      </c>
      <c r="K5" s="217">
        <f t="shared" si="1"/>
        <v>7409</v>
      </c>
      <c r="L5" s="146">
        <v>0</v>
      </c>
      <c r="M5" s="146">
        <v>192</v>
      </c>
      <c r="N5" s="146">
        <v>88</v>
      </c>
      <c r="O5" s="219">
        <v>11051</v>
      </c>
      <c r="P5" s="145">
        <f t="shared" ref="P5:P42" si="2">B5+D5</f>
        <v>1621</v>
      </c>
      <c r="Q5" s="145">
        <f t="shared" ref="Q5:Q42" si="3">C5+E5+F5</f>
        <v>1741</v>
      </c>
      <c r="R5" s="145">
        <f t="shared" ref="R5:R42" si="4">SUM(K5:N5)</f>
        <v>7689</v>
      </c>
      <c r="S5" s="137">
        <f t="shared" ref="S5:S42" si="5">(10*P5)+(3*Q5)+R5</f>
        <v>29122</v>
      </c>
      <c r="T5" s="235">
        <f t="shared" ref="T5:T42" si="6">S5/$S$43</f>
        <v>2.5113918985577736E-2</v>
      </c>
      <c r="U5" s="145">
        <f t="shared" ref="U5:U42" si="7">O5-SUM(P5:R5)</f>
        <v>0</v>
      </c>
    </row>
    <row r="6" spans="1:21" ht="11.25" customHeight="1">
      <c r="A6" s="144" t="s">
        <v>35</v>
      </c>
      <c r="B6" s="146">
        <v>61</v>
      </c>
      <c r="C6" s="146">
        <v>39</v>
      </c>
      <c r="D6" s="146">
        <v>8</v>
      </c>
      <c r="E6" s="146">
        <v>996</v>
      </c>
      <c r="F6" s="146">
        <v>141</v>
      </c>
      <c r="G6" s="217">
        <f t="shared" si="0"/>
        <v>1245</v>
      </c>
      <c r="H6" s="146">
        <v>1475</v>
      </c>
      <c r="I6" s="146">
        <v>1</v>
      </c>
      <c r="J6" s="146">
        <v>2</v>
      </c>
      <c r="K6" s="217">
        <f t="shared" si="1"/>
        <v>1478</v>
      </c>
      <c r="L6" s="146">
        <v>0</v>
      </c>
      <c r="M6" s="146">
        <v>0</v>
      </c>
      <c r="N6" s="146">
        <v>1</v>
      </c>
      <c r="O6" s="219">
        <v>2721</v>
      </c>
      <c r="P6" s="145">
        <f t="shared" si="2"/>
        <v>69</v>
      </c>
      <c r="Q6" s="145">
        <f t="shared" si="3"/>
        <v>1176</v>
      </c>
      <c r="R6" s="145">
        <f t="shared" si="4"/>
        <v>1479</v>
      </c>
      <c r="S6" s="137">
        <f t="shared" si="5"/>
        <v>5697</v>
      </c>
      <c r="T6" s="235">
        <f t="shared" si="6"/>
        <v>4.9129179472850891E-3</v>
      </c>
      <c r="U6" s="145">
        <f t="shared" si="7"/>
        <v>-3</v>
      </c>
    </row>
    <row r="7" spans="1:21" ht="11.25" customHeight="1">
      <c r="A7" s="144" t="s">
        <v>36</v>
      </c>
      <c r="B7" s="146">
        <v>139</v>
      </c>
      <c r="C7" s="146">
        <v>33</v>
      </c>
      <c r="D7" s="146">
        <v>43</v>
      </c>
      <c r="E7" s="146">
        <v>2710</v>
      </c>
      <c r="F7" s="146">
        <v>1228</v>
      </c>
      <c r="G7" s="217">
        <f t="shared" si="0"/>
        <v>4153</v>
      </c>
      <c r="H7" s="146">
        <v>10611</v>
      </c>
      <c r="I7" s="146">
        <v>2</v>
      </c>
      <c r="J7" s="146">
        <v>74</v>
      </c>
      <c r="K7" s="217">
        <f t="shared" si="1"/>
        <v>10687</v>
      </c>
      <c r="L7" s="146">
        <v>266</v>
      </c>
      <c r="M7" s="146">
        <v>94</v>
      </c>
      <c r="N7" s="146">
        <v>62</v>
      </c>
      <c r="O7" s="219">
        <v>15263</v>
      </c>
      <c r="P7" s="145">
        <f t="shared" si="2"/>
        <v>182</v>
      </c>
      <c r="Q7" s="145">
        <f t="shared" si="3"/>
        <v>3971</v>
      </c>
      <c r="R7" s="145">
        <f t="shared" si="4"/>
        <v>11109</v>
      </c>
      <c r="S7" s="137">
        <f t="shared" si="5"/>
        <v>24842</v>
      </c>
      <c r="T7" s="235">
        <f t="shared" si="6"/>
        <v>2.1422978347631415E-2</v>
      </c>
      <c r="U7" s="145">
        <f t="shared" si="7"/>
        <v>1</v>
      </c>
    </row>
    <row r="8" spans="1:21" ht="11.25" customHeight="1">
      <c r="A8" s="144" t="s">
        <v>57</v>
      </c>
      <c r="B8" s="146">
        <v>130</v>
      </c>
      <c r="C8" s="146">
        <v>10</v>
      </c>
      <c r="D8" s="146">
        <v>22</v>
      </c>
      <c r="E8" s="146">
        <v>141</v>
      </c>
      <c r="F8" s="146">
        <v>281</v>
      </c>
      <c r="G8" s="217">
        <f t="shared" si="0"/>
        <v>584</v>
      </c>
      <c r="H8" s="146">
        <v>2090</v>
      </c>
      <c r="I8" s="146">
        <v>36</v>
      </c>
      <c r="J8" s="146">
        <v>25</v>
      </c>
      <c r="K8" s="217">
        <f t="shared" si="1"/>
        <v>2151</v>
      </c>
      <c r="L8" s="146">
        <v>249</v>
      </c>
      <c r="M8" s="146">
        <v>17</v>
      </c>
      <c r="N8" s="146">
        <v>14</v>
      </c>
      <c r="O8" s="219">
        <v>3015</v>
      </c>
      <c r="P8" s="145">
        <f t="shared" si="2"/>
        <v>152</v>
      </c>
      <c r="Q8" s="145">
        <f t="shared" si="3"/>
        <v>432</v>
      </c>
      <c r="R8" s="145">
        <f t="shared" si="4"/>
        <v>2431</v>
      </c>
      <c r="S8" s="137">
        <f t="shared" si="5"/>
        <v>5247</v>
      </c>
      <c r="T8" s="235">
        <f t="shared" si="6"/>
        <v>4.5248517587159667E-3</v>
      </c>
      <c r="U8" s="145">
        <f t="shared" si="7"/>
        <v>0</v>
      </c>
    </row>
    <row r="9" spans="1:21" ht="11.25" customHeight="1">
      <c r="A9" s="144" t="s">
        <v>14</v>
      </c>
      <c r="B9" s="146">
        <v>198</v>
      </c>
      <c r="C9" s="146">
        <v>37</v>
      </c>
      <c r="D9" s="146">
        <v>23</v>
      </c>
      <c r="E9" s="146">
        <v>2340</v>
      </c>
      <c r="F9" s="146">
        <v>892</v>
      </c>
      <c r="G9" s="217">
        <f t="shared" si="0"/>
        <v>3490</v>
      </c>
      <c r="H9" s="146">
        <v>13787</v>
      </c>
      <c r="I9" s="146">
        <v>60</v>
      </c>
      <c r="J9" s="146">
        <v>1320</v>
      </c>
      <c r="K9" s="217">
        <f t="shared" si="1"/>
        <v>15167</v>
      </c>
      <c r="L9" s="146">
        <v>53</v>
      </c>
      <c r="M9" s="146">
        <v>657</v>
      </c>
      <c r="N9" s="146">
        <v>10</v>
      </c>
      <c r="O9" s="219">
        <v>19377</v>
      </c>
      <c r="P9" s="145">
        <f t="shared" si="2"/>
        <v>221</v>
      </c>
      <c r="Q9" s="145">
        <f t="shared" si="3"/>
        <v>3269</v>
      </c>
      <c r="R9" s="145">
        <f t="shared" si="4"/>
        <v>15887</v>
      </c>
      <c r="S9" s="137">
        <f t="shared" si="5"/>
        <v>27904</v>
      </c>
      <c r="T9" s="235">
        <f t="shared" si="6"/>
        <v>2.4063553168517313E-2</v>
      </c>
      <c r="U9" s="145">
        <f t="shared" si="7"/>
        <v>0</v>
      </c>
    </row>
    <row r="10" spans="1:21" ht="11.25" customHeight="1">
      <c r="A10" s="144" t="s">
        <v>44</v>
      </c>
      <c r="B10" s="146">
        <v>839</v>
      </c>
      <c r="C10" s="146">
        <v>0</v>
      </c>
      <c r="D10" s="146">
        <v>96</v>
      </c>
      <c r="E10" s="146">
        <v>1866</v>
      </c>
      <c r="F10" s="146">
        <v>982</v>
      </c>
      <c r="G10" s="217">
        <f t="shared" si="0"/>
        <v>3783</v>
      </c>
      <c r="H10" s="146">
        <v>20363</v>
      </c>
      <c r="I10" s="146">
        <v>254</v>
      </c>
      <c r="J10" s="146">
        <v>18</v>
      </c>
      <c r="K10" s="217">
        <f t="shared" si="1"/>
        <v>20635</v>
      </c>
      <c r="L10" s="146">
        <v>101</v>
      </c>
      <c r="M10" s="146">
        <v>551</v>
      </c>
      <c r="N10" s="146">
        <v>29</v>
      </c>
      <c r="O10" s="219">
        <v>25098</v>
      </c>
      <c r="P10" s="145">
        <f t="shared" si="2"/>
        <v>935</v>
      </c>
      <c r="Q10" s="145">
        <f t="shared" si="3"/>
        <v>2848</v>
      </c>
      <c r="R10" s="145">
        <f t="shared" si="4"/>
        <v>21316</v>
      </c>
      <c r="S10" s="137">
        <f t="shared" si="5"/>
        <v>39210</v>
      </c>
      <c r="T10" s="235">
        <f t="shared" si="6"/>
        <v>3.3813500563989525E-2</v>
      </c>
      <c r="U10" s="145">
        <f t="shared" si="7"/>
        <v>-1</v>
      </c>
    </row>
    <row r="11" spans="1:21" ht="11.25" customHeight="1">
      <c r="A11" s="144" t="s">
        <v>63</v>
      </c>
      <c r="B11" s="146">
        <v>584</v>
      </c>
      <c r="C11" s="146">
        <v>0</v>
      </c>
      <c r="D11" s="146">
        <v>56</v>
      </c>
      <c r="E11" s="146">
        <v>2244</v>
      </c>
      <c r="F11" s="146">
        <v>1076</v>
      </c>
      <c r="G11" s="217">
        <f t="shared" si="0"/>
        <v>3960</v>
      </c>
      <c r="H11" s="146">
        <v>16697</v>
      </c>
      <c r="I11" s="146">
        <v>21</v>
      </c>
      <c r="J11" s="146">
        <v>149</v>
      </c>
      <c r="K11" s="217">
        <f t="shared" si="1"/>
        <v>16867</v>
      </c>
      <c r="L11" s="146">
        <v>0</v>
      </c>
      <c r="M11" s="146">
        <v>227</v>
      </c>
      <c r="N11" s="146">
        <v>55</v>
      </c>
      <c r="O11" s="219">
        <v>21110</v>
      </c>
      <c r="P11" s="145">
        <f t="shared" si="2"/>
        <v>640</v>
      </c>
      <c r="Q11" s="145">
        <f t="shared" si="3"/>
        <v>3320</v>
      </c>
      <c r="R11" s="145">
        <f t="shared" si="4"/>
        <v>17149</v>
      </c>
      <c r="S11" s="137">
        <f t="shared" si="5"/>
        <v>33509</v>
      </c>
      <c r="T11" s="235">
        <f t="shared" si="6"/>
        <v>2.8897133139472713E-2</v>
      </c>
      <c r="U11" s="145">
        <f t="shared" si="7"/>
        <v>1</v>
      </c>
    </row>
    <row r="12" spans="1:21" ht="11.25" customHeight="1">
      <c r="A12" s="144" t="s">
        <v>45</v>
      </c>
      <c r="B12" s="146">
        <v>255</v>
      </c>
      <c r="C12" s="146">
        <v>100</v>
      </c>
      <c r="D12" s="146">
        <v>100</v>
      </c>
      <c r="E12" s="146">
        <v>817</v>
      </c>
      <c r="F12" s="146">
        <v>1061</v>
      </c>
      <c r="G12" s="217">
        <f t="shared" si="0"/>
        <v>2333</v>
      </c>
      <c r="H12" s="146">
        <v>13257</v>
      </c>
      <c r="I12" s="146">
        <v>50</v>
      </c>
      <c r="J12" s="146">
        <v>42</v>
      </c>
      <c r="K12" s="217">
        <f t="shared" si="1"/>
        <v>13349</v>
      </c>
      <c r="L12" s="146">
        <v>79</v>
      </c>
      <c r="M12" s="146">
        <v>5</v>
      </c>
      <c r="N12" s="146">
        <v>66</v>
      </c>
      <c r="O12" s="219">
        <v>15831</v>
      </c>
      <c r="P12" s="145">
        <f t="shared" si="2"/>
        <v>355</v>
      </c>
      <c r="Q12" s="145">
        <f t="shared" si="3"/>
        <v>1978</v>
      </c>
      <c r="R12" s="145">
        <f t="shared" si="4"/>
        <v>13499</v>
      </c>
      <c r="S12" s="137">
        <f t="shared" si="5"/>
        <v>22983</v>
      </c>
      <c r="T12" s="235">
        <f t="shared" si="6"/>
        <v>1.9819833804186976E-2</v>
      </c>
      <c r="U12" s="145">
        <f t="shared" si="7"/>
        <v>-1</v>
      </c>
    </row>
    <row r="13" spans="1:21" ht="11.25" customHeight="1">
      <c r="A13" s="144" t="s">
        <v>74</v>
      </c>
      <c r="B13" s="146">
        <v>493</v>
      </c>
      <c r="C13" s="146">
        <v>27</v>
      </c>
      <c r="D13" s="146">
        <v>91</v>
      </c>
      <c r="E13" s="146">
        <v>767</v>
      </c>
      <c r="F13" s="146">
        <v>360</v>
      </c>
      <c r="G13" s="217">
        <f t="shared" si="0"/>
        <v>1738</v>
      </c>
      <c r="H13" s="146">
        <v>8424</v>
      </c>
      <c r="I13" s="146">
        <v>0</v>
      </c>
      <c r="J13" s="146">
        <v>71</v>
      </c>
      <c r="K13" s="217">
        <f t="shared" si="1"/>
        <v>8495</v>
      </c>
      <c r="L13" s="146">
        <v>0</v>
      </c>
      <c r="M13" s="146">
        <v>100</v>
      </c>
      <c r="N13" s="146">
        <v>164</v>
      </c>
      <c r="O13" s="219">
        <v>10497</v>
      </c>
      <c r="P13" s="145">
        <f t="shared" si="2"/>
        <v>584</v>
      </c>
      <c r="Q13" s="145">
        <f t="shared" si="3"/>
        <v>1154</v>
      </c>
      <c r="R13" s="145">
        <f t="shared" si="4"/>
        <v>8759</v>
      </c>
      <c r="S13" s="137">
        <f t="shared" si="5"/>
        <v>18061</v>
      </c>
      <c r="T13" s="235">
        <f t="shared" si="6"/>
        <v>1.5575252070548709E-2</v>
      </c>
      <c r="U13" s="145">
        <f t="shared" si="7"/>
        <v>0</v>
      </c>
    </row>
    <row r="14" spans="1:21" ht="11.25" customHeight="1">
      <c r="A14" s="144" t="s">
        <v>37</v>
      </c>
      <c r="B14" s="146">
        <v>801</v>
      </c>
      <c r="C14" s="146">
        <v>21</v>
      </c>
      <c r="D14" s="146">
        <v>95</v>
      </c>
      <c r="E14" s="146">
        <v>2404</v>
      </c>
      <c r="F14" s="146">
        <v>461</v>
      </c>
      <c r="G14" s="217">
        <f t="shared" si="0"/>
        <v>3782</v>
      </c>
      <c r="H14" s="146">
        <v>19175</v>
      </c>
      <c r="I14" s="146">
        <v>0</v>
      </c>
      <c r="J14" s="146">
        <v>120</v>
      </c>
      <c r="K14" s="217">
        <f t="shared" si="1"/>
        <v>19295</v>
      </c>
      <c r="L14" s="146">
        <v>0</v>
      </c>
      <c r="M14" s="146">
        <v>671</v>
      </c>
      <c r="N14" s="146">
        <v>41</v>
      </c>
      <c r="O14" s="219">
        <v>23789</v>
      </c>
      <c r="P14" s="145">
        <f t="shared" si="2"/>
        <v>896</v>
      </c>
      <c r="Q14" s="145">
        <f t="shared" si="3"/>
        <v>2886</v>
      </c>
      <c r="R14" s="145">
        <f t="shared" si="4"/>
        <v>20007</v>
      </c>
      <c r="S14" s="137">
        <f t="shared" si="5"/>
        <v>37625</v>
      </c>
      <c r="T14" s="235">
        <f t="shared" si="6"/>
        <v>3.2446645210918286E-2</v>
      </c>
      <c r="U14" s="145">
        <f t="shared" si="7"/>
        <v>0</v>
      </c>
    </row>
    <row r="15" spans="1:21" ht="11.25" customHeight="1">
      <c r="A15" s="144" t="s">
        <v>38</v>
      </c>
      <c r="B15" s="146">
        <v>411</v>
      </c>
      <c r="C15" s="146">
        <v>26</v>
      </c>
      <c r="D15" s="146">
        <v>89</v>
      </c>
      <c r="E15" s="146">
        <v>490</v>
      </c>
      <c r="F15" s="146">
        <v>231</v>
      </c>
      <c r="G15" s="217">
        <f t="shared" si="0"/>
        <v>1247</v>
      </c>
      <c r="H15" s="146">
        <v>8495</v>
      </c>
      <c r="I15" s="146">
        <v>0</v>
      </c>
      <c r="J15" s="146">
        <v>146</v>
      </c>
      <c r="K15" s="217">
        <f t="shared" si="1"/>
        <v>8641</v>
      </c>
      <c r="L15" s="146">
        <v>40</v>
      </c>
      <c r="M15" s="146">
        <v>273</v>
      </c>
      <c r="N15" s="146">
        <v>0</v>
      </c>
      <c r="O15" s="219">
        <v>10200</v>
      </c>
      <c r="P15" s="145">
        <f t="shared" si="2"/>
        <v>500</v>
      </c>
      <c r="Q15" s="145">
        <f t="shared" si="3"/>
        <v>747</v>
      </c>
      <c r="R15" s="145">
        <f t="shared" si="4"/>
        <v>8954</v>
      </c>
      <c r="S15" s="137">
        <f t="shared" si="5"/>
        <v>16195</v>
      </c>
      <c r="T15" s="235">
        <f t="shared" si="6"/>
        <v>1.3966070941948747E-2</v>
      </c>
      <c r="U15" s="145">
        <f t="shared" si="7"/>
        <v>-1</v>
      </c>
    </row>
    <row r="16" spans="1:21" ht="11.25" customHeight="1">
      <c r="A16" s="144" t="s">
        <v>26</v>
      </c>
      <c r="B16" s="146">
        <v>719</v>
      </c>
      <c r="C16" s="146">
        <v>8</v>
      </c>
      <c r="D16" s="146">
        <v>153</v>
      </c>
      <c r="E16" s="146">
        <v>1695</v>
      </c>
      <c r="F16" s="146">
        <v>1478</v>
      </c>
      <c r="G16" s="217">
        <f t="shared" si="0"/>
        <v>4053</v>
      </c>
      <c r="H16" s="146">
        <v>16432</v>
      </c>
      <c r="I16" s="146">
        <v>0</v>
      </c>
      <c r="J16" s="146">
        <v>13</v>
      </c>
      <c r="K16" s="217">
        <f t="shared" si="1"/>
        <v>16445</v>
      </c>
      <c r="L16" s="146">
        <v>1</v>
      </c>
      <c r="M16" s="146">
        <v>89</v>
      </c>
      <c r="N16" s="146">
        <v>193</v>
      </c>
      <c r="O16" s="219">
        <v>20781</v>
      </c>
      <c r="P16" s="145">
        <f t="shared" si="2"/>
        <v>872</v>
      </c>
      <c r="Q16" s="145">
        <f t="shared" si="3"/>
        <v>3181</v>
      </c>
      <c r="R16" s="145">
        <f t="shared" si="4"/>
        <v>16728</v>
      </c>
      <c r="S16" s="137">
        <f t="shared" si="5"/>
        <v>34991</v>
      </c>
      <c r="T16" s="235">
        <f t="shared" si="6"/>
        <v>3.0175164453827022E-2</v>
      </c>
      <c r="U16" s="145">
        <f t="shared" si="7"/>
        <v>0</v>
      </c>
    </row>
    <row r="17" spans="1:21" ht="11.25" customHeight="1">
      <c r="A17" s="144" t="s">
        <v>15</v>
      </c>
      <c r="B17" s="146">
        <v>664</v>
      </c>
      <c r="C17" s="146">
        <v>0</v>
      </c>
      <c r="D17" s="146">
        <v>183</v>
      </c>
      <c r="E17" s="146">
        <v>3005</v>
      </c>
      <c r="F17" s="146">
        <v>995</v>
      </c>
      <c r="G17" s="217">
        <f t="shared" si="0"/>
        <v>4847</v>
      </c>
      <c r="H17" s="146">
        <v>13690</v>
      </c>
      <c r="I17" s="146">
        <v>0</v>
      </c>
      <c r="J17" s="146">
        <v>99</v>
      </c>
      <c r="K17" s="217">
        <f t="shared" si="1"/>
        <v>13789</v>
      </c>
      <c r="L17" s="146">
        <v>0</v>
      </c>
      <c r="M17" s="146">
        <v>1018</v>
      </c>
      <c r="N17" s="146">
        <v>23</v>
      </c>
      <c r="O17" s="219">
        <v>19677</v>
      </c>
      <c r="P17" s="145">
        <f t="shared" si="2"/>
        <v>847</v>
      </c>
      <c r="Q17" s="145">
        <f t="shared" si="3"/>
        <v>4000</v>
      </c>
      <c r="R17" s="145">
        <f t="shared" si="4"/>
        <v>14830</v>
      </c>
      <c r="S17" s="137">
        <f t="shared" si="5"/>
        <v>35300</v>
      </c>
      <c r="T17" s="235">
        <f t="shared" si="6"/>
        <v>3.0441636569977819E-2</v>
      </c>
      <c r="U17" s="145">
        <f t="shared" si="7"/>
        <v>0</v>
      </c>
    </row>
    <row r="18" spans="1:21" ht="11.25" customHeight="1">
      <c r="A18" s="144" t="s">
        <v>28</v>
      </c>
      <c r="B18" s="146">
        <v>1668</v>
      </c>
      <c r="C18" s="146">
        <v>0</v>
      </c>
      <c r="D18" s="146">
        <v>476</v>
      </c>
      <c r="E18" s="146">
        <v>5153</v>
      </c>
      <c r="F18" s="146">
        <v>1836</v>
      </c>
      <c r="G18" s="217">
        <f t="shared" si="0"/>
        <v>9133</v>
      </c>
      <c r="H18" s="146">
        <v>30645</v>
      </c>
      <c r="I18" s="146">
        <v>14</v>
      </c>
      <c r="J18" s="146">
        <v>330</v>
      </c>
      <c r="K18" s="217">
        <f t="shared" si="1"/>
        <v>30989</v>
      </c>
      <c r="L18" s="146">
        <v>0</v>
      </c>
      <c r="M18" s="146">
        <v>350</v>
      </c>
      <c r="N18" s="146">
        <v>80</v>
      </c>
      <c r="O18" s="219">
        <v>40552</v>
      </c>
      <c r="P18" s="145">
        <f t="shared" si="2"/>
        <v>2144</v>
      </c>
      <c r="Q18" s="145">
        <f t="shared" si="3"/>
        <v>6989</v>
      </c>
      <c r="R18" s="145">
        <f t="shared" si="4"/>
        <v>31419</v>
      </c>
      <c r="S18" s="137">
        <f t="shared" si="5"/>
        <v>73826</v>
      </c>
      <c r="T18" s="235">
        <f t="shared" si="6"/>
        <v>6.3665276527342288E-2</v>
      </c>
      <c r="U18" s="145">
        <f t="shared" si="7"/>
        <v>0</v>
      </c>
    </row>
    <row r="19" spans="1:21" ht="11.25" customHeight="1">
      <c r="A19" s="144" t="s">
        <v>46</v>
      </c>
      <c r="B19" s="146">
        <v>488</v>
      </c>
      <c r="C19" s="146">
        <v>9</v>
      </c>
      <c r="D19" s="146">
        <v>84</v>
      </c>
      <c r="E19" s="146">
        <v>279</v>
      </c>
      <c r="F19" s="146">
        <v>421</v>
      </c>
      <c r="G19" s="217">
        <f t="shared" si="0"/>
        <v>1281</v>
      </c>
      <c r="H19" s="146">
        <v>7581</v>
      </c>
      <c r="I19" s="146">
        <v>0</v>
      </c>
      <c r="J19" s="146">
        <v>0</v>
      </c>
      <c r="K19" s="217">
        <f t="shared" si="1"/>
        <v>7581</v>
      </c>
      <c r="L19" s="146">
        <v>55</v>
      </c>
      <c r="M19" s="146">
        <v>21</v>
      </c>
      <c r="N19" s="146">
        <v>115</v>
      </c>
      <c r="O19" s="219">
        <v>9054</v>
      </c>
      <c r="P19" s="145">
        <f t="shared" si="2"/>
        <v>572</v>
      </c>
      <c r="Q19" s="145">
        <f t="shared" si="3"/>
        <v>709</v>
      </c>
      <c r="R19" s="145">
        <f t="shared" si="4"/>
        <v>7772</v>
      </c>
      <c r="S19" s="137">
        <f t="shared" si="5"/>
        <v>15619</v>
      </c>
      <c r="T19" s="235">
        <f t="shared" si="6"/>
        <v>1.3469346220580271E-2</v>
      </c>
      <c r="U19" s="145">
        <f t="shared" si="7"/>
        <v>1</v>
      </c>
    </row>
    <row r="20" spans="1:21" ht="11.25" customHeight="1">
      <c r="A20" s="144" t="s">
        <v>39</v>
      </c>
      <c r="B20" s="146">
        <v>712</v>
      </c>
      <c r="C20" s="146">
        <v>4</v>
      </c>
      <c r="D20" s="146">
        <v>204</v>
      </c>
      <c r="E20" s="146">
        <v>1825</v>
      </c>
      <c r="F20" s="146">
        <v>1195</v>
      </c>
      <c r="G20" s="217">
        <f t="shared" si="0"/>
        <v>3940</v>
      </c>
      <c r="H20" s="146">
        <v>23608</v>
      </c>
      <c r="I20" s="146">
        <v>27</v>
      </c>
      <c r="J20" s="146">
        <v>299</v>
      </c>
      <c r="K20" s="217">
        <f t="shared" si="1"/>
        <v>23934</v>
      </c>
      <c r="L20" s="146">
        <v>0</v>
      </c>
      <c r="M20" s="146">
        <v>338</v>
      </c>
      <c r="N20" s="146">
        <v>102</v>
      </c>
      <c r="O20" s="219">
        <v>28314</v>
      </c>
      <c r="P20" s="145">
        <f t="shared" si="2"/>
        <v>916</v>
      </c>
      <c r="Q20" s="145">
        <f t="shared" si="3"/>
        <v>3024</v>
      </c>
      <c r="R20" s="145">
        <f t="shared" si="4"/>
        <v>24374</v>
      </c>
      <c r="S20" s="137">
        <f t="shared" si="5"/>
        <v>42606</v>
      </c>
      <c r="T20" s="235">
        <f t="shared" si="6"/>
        <v>3.6742106733724501E-2</v>
      </c>
      <c r="U20" s="145">
        <f t="shared" si="7"/>
        <v>0</v>
      </c>
    </row>
    <row r="21" spans="1:21" ht="11.25" customHeight="1">
      <c r="A21" s="144" t="s">
        <v>258</v>
      </c>
      <c r="B21" s="146">
        <v>724</v>
      </c>
      <c r="C21" s="146">
        <v>8</v>
      </c>
      <c r="D21" s="146">
        <v>373</v>
      </c>
      <c r="E21" s="146">
        <v>3313</v>
      </c>
      <c r="F21" s="146">
        <v>871</v>
      </c>
      <c r="G21" s="217">
        <f t="shared" si="0"/>
        <v>5289</v>
      </c>
      <c r="H21" s="146">
        <v>22535</v>
      </c>
      <c r="I21" s="146">
        <v>0</v>
      </c>
      <c r="J21" s="146">
        <v>0</v>
      </c>
      <c r="K21" s="217">
        <f t="shared" si="1"/>
        <v>22535</v>
      </c>
      <c r="L21" s="146">
        <v>0</v>
      </c>
      <c r="M21" s="146">
        <v>203</v>
      </c>
      <c r="N21" s="146">
        <v>35</v>
      </c>
      <c r="O21" s="219">
        <v>28061</v>
      </c>
      <c r="P21" s="145">
        <f t="shared" si="2"/>
        <v>1097</v>
      </c>
      <c r="Q21" s="145">
        <f t="shared" si="3"/>
        <v>4192</v>
      </c>
      <c r="R21" s="145">
        <f t="shared" si="4"/>
        <v>22773</v>
      </c>
      <c r="S21" s="137">
        <f t="shared" si="5"/>
        <v>46319</v>
      </c>
      <c r="T21" s="235">
        <f t="shared" si="6"/>
        <v>3.994408397407373E-2</v>
      </c>
      <c r="U21" s="145">
        <f t="shared" si="7"/>
        <v>-1</v>
      </c>
    </row>
    <row r="22" spans="1:21" ht="11.25" customHeight="1">
      <c r="A22" s="144" t="s">
        <v>16</v>
      </c>
      <c r="B22" s="146">
        <v>283</v>
      </c>
      <c r="C22" s="146">
        <v>0</v>
      </c>
      <c r="D22" s="146">
        <v>45</v>
      </c>
      <c r="E22" s="146">
        <v>606</v>
      </c>
      <c r="F22" s="146">
        <v>294</v>
      </c>
      <c r="G22" s="217">
        <f t="shared" si="0"/>
        <v>1228</v>
      </c>
      <c r="H22" s="146">
        <v>6086</v>
      </c>
      <c r="I22" s="146">
        <v>251</v>
      </c>
      <c r="J22" s="146">
        <v>0</v>
      </c>
      <c r="K22" s="217">
        <f t="shared" si="1"/>
        <v>6337</v>
      </c>
      <c r="L22" s="146">
        <v>9</v>
      </c>
      <c r="M22" s="146">
        <v>66</v>
      </c>
      <c r="N22" s="146">
        <v>108</v>
      </c>
      <c r="O22" s="219">
        <v>7746</v>
      </c>
      <c r="P22" s="145">
        <f t="shared" si="2"/>
        <v>328</v>
      </c>
      <c r="Q22" s="145">
        <f t="shared" si="3"/>
        <v>900</v>
      </c>
      <c r="R22" s="145">
        <f t="shared" si="4"/>
        <v>6520</v>
      </c>
      <c r="S22" s="137">
        <f t="shared" si="5"/>
        <v>12500</v>
      </c>
      <c r="T22" s="235">
        <f t="shared" si="6"/>
        <v>1.0779616349142287E-2</v>
      </c>
      <c r="U22" s="145">
        <f t="shared" si="7"/>
        <v>-2</v>
      </c>
    </row>
    <row r="23" spans="1:21" ht="11.25" customHeight="1">
      <c r="A23" s="144" t="s">
        <v>30</v>
      </c>
      <c r="B23" s="146">
        <v>324</v>
      </c>
      <c r="C23" s="146">
        <v>0</v>
      </c>
      <c r="D23" s="146">
        <v>51</v>
      </c>
      <c r="E23" s="146">
        <v>1503</v>
      </c>
      <c r="F23" s="146">
        <v>615</v>
      </c>
      <c r="G23" s="217">
        <f t="shared" si="0"/>
        <v>2493</v>
      </c>
      <c r="H23" s="146">
        <v>7661</v>
      </c>
      <c r="I23" s="146">
        <v>0</v>
      </c>
      <c r="J23" s="146">
        <v>0</v>
      </c>
      <c r="K23" s="217">
        <f t="shared" si="1"/>
        <v>7661</v>
      </c>
      <c r="L23" s="146">
        <v>0</v>
      </c>
      <c r="M23" s="146">
        <v>0</v>
      </c>
      <c r="N23" s="146">
        <v>10</v>
      </c>
      <c r="O23" s="219">
        <v>10163</v>
      </c>
      <c r="P23" s="145">
        <f t="shared" si="2"/>
        <v>375</v>
      </c>
      <c r="Q23" s="145">
        <f t="shared" si="3"/>
        <v>2118</v>
      </c>
      <c r="R23" s="145">
        <f t="shared" si="4"/>
        <v>7671</v>
      </c>
      <c r="S23" s="137">
        <f t="shared" si="5"/>
        <v>17775</v>
      </c>
      <c r="T23" s="235">
        <f t="shared" si="6"/>
        <v>1.5328614448480334E-2</v>
      </c>
      <c r="U23" s="145">
        <f t="shared" si="7"/>
        <v>-1</v>
      </c>
    </row>
    <row r="24" spans="1:21" ht="11.25" customHeight="1">
      <c r="A24" s="144" t="s">
        <v>75</v>
      </c>
      <c r="B24" s="146">
        <v>1100</v>
      </c>
      <c r="C24" s="146">
        <v>29</v>
      </c>
      <c r="D24" s="146">
        <v>148</v>
      </c>
      <c r="E24" s="146">
        <v>1005</v>
      </c>
      <c r="F24" s="146">
        <v>583</v>
      </c>
      <c r="G24" s="217">
        <f t="shared" si="0"/>
        <v>2865</v>
      </c>
      <c r="H24" s="146">
        <v>11122</v>
      </c>
      <c r="I24" s="146">
        <v>0</v>
      </c>
      <c r="J24" s="146">
        <v>149</v>
      </c>
      <c r="K24" s="217">
        <f t="shared" si="1"/>
        <v>11271</v>
      </c>
      <c r="L24" s="146">
        <v>31</v>
      </c>
      <c r="M24" s="146">
        <v>199</v>
      </c>
      <c r="N24" s="146">
        <v>99</v>
      </c>
      <c r="O24" s="219">
        <v>14465</v>
      </c>
      <c r="P24" s="145">
        <f t="shared" si="2"/>
        <v>1248</v>
      </c>
      <c r="Q24" s="145">
        <f t="shared" si="3"/>
        <v>1617</v>
      </c>
      <c r="R24" s="145">
        <f t="shared" si="4"/>
        <v>11600</v>
      </c>
      <c r="S24" s="137">
        <f t="shared" si="5"/>
        <v>28931</v>
      </c>
      <c r="T24" s="235">
        <f t="shared" si="6"/>
        <v>2.4949206447762842E-2</v>
      </c>
      <c r="U24" s="145">
        <f t="shared" si="7"/>
        <v>0</v>
      </c>
    </row>
    <row r="25" spans="1:21" ht="11.25" customHeight="1">
      <c r="A25" s="144" t="s">
        <v>32</v>
      </c>
      <c r="B25" s="146">
        <v>106</v>
      </c>
      <c r="C25" s="146">
        <v>0</v>
      </c>
      <c r="D25" s="146">
        <v>17</v>
      </c>
      <c r="E25" s="146">
        <v>2272</v>
      </c>
      <c r="F25" s="146">
        <v>186</v>
      </c>
      <c r="G25" s="217">
        <f t="shared" si="0"/>
        <v>2581</v>
      </c>
      <c r="H25" s="146">
        <v>4218</v>
      </c>
      <c r="I25" s="146">
        <v>0</v>
      </c>
      <c r="J25" s="146">
        <v>0</v>
      </c>
      <c r="K25" s="217">
        <f t="shared" si="1"/>
        <v>4218</v>
      </c>
      <c r="L25" s="146">
        <v>12</v>
      </c>
      <c r="M25" s="146">
        <v>54</v>
      </c>
      <c r="N25" s="146">
        <v>2</v>
      </c>
      <c r="O25" s="219">
        <v>6867</v>
      </c>
      <c r="P25" s="145">
        <f t="shared" si="2"/>
        <v>123</v>
      </c>
      <c r="Q25" s="145">
        <f t="shared" si="3"/>
        <v>2458</v>
      </c>
      <c r="R25" s="145">
        <f t="shared" si="4"/>
        <v>4286</v>
      </c>
      <c r="S25" s="137">
        <f t="shared" si="5"/>
        <v>12890</v>
      </c>
      <c r="T25" s="235">
        <f t="shared" si="6"/>
        <v>1.1115940379235526E-2</v>
      </c>
      <c r="U25" s="145">
        <f t="shared" si="7"/>
        <v>0</v>
      </c>
    </row>
    <row r="26" spans="1:21" ht="11.25" customHeight="1">
      <c r="A26" s="144" t="s">
        <v>60</v>
      </c>
      <c r="B26" s="146">
        <v>141</v>
      </c>
      <c r="C26" s="146">
        <v>4</v>
      </c>
      <c r="D26" s="146">
        <v>39</v>
      </c>
      <c r="E26" s="146">
        <v>1025</v>
      </c>
      <c r="F26" s="146">
        <v>530</v>
      </c>
      <c r="G26" s="217">
        <f t="shared" si="0"/>
        <v>1739</v>
      </c>
      <c r="H26" s="146">
        <v>6110</v>
      </c>
      <c r="I26" s="146">
        <v>0</v>
      </c>
      <c r="J26" s="146">
        <v>3</v>
      </c>
      <c r="K26" s="217">
        <f t="shared" si="1"/>
        <v>6113</v>
      </c>
      <c r="L26" s="146">
        <v>10</v>
      </c>
      <c r="M26" s="146">
        <v>92</v>
      </c>
      <c r="N26" s="146">
        <v>62</v>
      </c>
      <c r="O26" s="219">
        <v>8016</v>
      </c>
      <c r="P26" s="145">
        <f t="shared" si="2"/>
        <v>180</v>
      </c>
      <c r="Q26" s="145">
        <f t="shared" si="3"/>
        <v>1559</v>
      </c>
      <c r="R26" s="145">
        <f t="shared" si="4"/>
        <v>6277</v>
      </c>
      <c r="S26" s="137">
        <f t="shared" si="5"/>
        <v>12754</v>
      </c>
      <c r="T26" s="235">
        <f t="shared" si="6"/>
        <v>1.0998658153356858E-2</v>
      </c>
      <c r="U26" s="145">
        <f t="shared" si="7"/>
        <v>0</v>
      </c>
    </row>
    <row r="27" spans="1:21" s="139" customFormat="1" ht="11.25" customHeight="1">
      <c r="A27" s="144" t="s">
        <v>76</v>
      </c>
      <c r="B27" s="146">
        <v>2481</v>
      </c>
      <c r="C27" s="146">
        <v>135</v>
      </c>
      <c r="D27" s="146">
        <v>678</v>
      </c>
      <c r="E27" s="146">
        <v>2885</v>
      </c>
      <c r="F27" s="146">
        <v>2294</v>
      </c>
      <c r="G27" s="217">
        <f t="shared" si="0"/>
        <v>8473</v>
      </c>
      <c r="H27" s="146">
        <v>24545</v>
      </c>
      <c r="I27" s="146">
        <v>0</v>
      </c>
      <c r="J27" s="146">
        <v>511</v>
      </c>
      <c r="K27" s="217">
        <f t="shared" si="1"/>
        <v>25056</v>
      </c>
      <c r="L27" s="146">
        <v>0</v>
      </c>
      <c r="M27" s="146">
        <v>1</v>
      </c>
      <c r="N27" s="146">
        <v>81</v>
      </c>
      <c r="O27" s="219">
        <v>33612</v>
      </c>
      <c r="P27" s="145">
        <f t="shared" si="2"/>
        <v>3159</v>
      </c>
      <c r="Q27" s="145">
        <f t="shared" si="3"/>
        <v>5314</v>
      </c>
      <c r="R27" s="145">
        <f t="shared" si="4"/>
        <v>25138</v>
      </c>
      <c r="S27" s="137">
        <f t="shared" si="5"/>
        <v>72670</v>
      </c>
      <c r="T27" s="235">
        <f t="shared" si="6"/>
        <v>6.2668377607373607E-2</v>
      </c>
      <c r="U27" s="145">
        <f t="shared" si="7"/>
        <v>1</v>
      </c>
    </row>
    <row r="28" spans="1:21" ht="11.25" customHeight="1">
      <c r="A28" s="144" t="s">
        <v>77</v>
      </c>
      <c r="B28" s="146">
        <v>359</v>
      </c>
      <c r="C28" s="146">
        <v>14</v>
      </c>
      <c r="D28" s="146">
        <v>97</v>
      </c>
      <c r="E28" s="146">
        <v>1006</v>
      </c>
      <c r="F28" s="146">
        <v>687</v>
      </c>
      <c r="G28" s="217">
        <f t="shared" si="0"/>
        <v>2163</v>
      </c>
      <c r="H28" s="146">
        <v>7637</v>
      </c>
      <c r="I28" s="146">
        <v>0</v>
      </c>
      <c r="J28" s="146">
        <v>134</v>
      </c>
      <c r="K28" s="217">
        <f t="shared" si="1"/>
        <v>7771</v>
      </c>
      <c r="L28" s="146">
        <v>7</v>
      </c>
      <c r="M28" s="146">
        <v>39</v>
      </c>
      <c r="N28" s="146">
        <v>74</v>
      </c>
      <c r="O28" s="219">
        <v>10054</v>
      </c>
      <c r="P28" s="145">
        <f t="shared" si="2"/>
        <v>456</v>
      </c>
      <c r="Q28" s="145">
        <f t="shared" si="3"/>
        <v>1707</v>
      </c>
      <c r="R28" s="145">
        <f t="shared" si="4"/>
        <v>7891</v>
      </c>
      <c r="S28" s="137">
        <f t="shared" si="5"/>
        <v>17572</v>
      </c>
      <c r="T28" s="235">
        <f t="shared" si="6"/>
        <v>1.5153553478970263E-2</v>
      </c>
      <c r="U28" s="145">
        <f t="shared" si="7"/>
        <v>0</v>
      </c>
    </row>
    <row r="29" spans="1:21" ht="11.25" customHeight="1">
      <c r="A29" s="225" t="s">
        <v>78</v>
      </c>
      <c r="B29" s="226">
        <f>1834+B48</f>
        <v>1915</v>
      </c>
      <c r="C29" s="226">
        <f>0+C48</f>
        <v>5</v>
      </c>
      <c r="D29" s="226">
        <f>374+D48</f>
        <v>387</v>
      </c>
      <c r="E29" s="226">
        <f>3819+E48</f>
        <v>4003</v>
      </c>
      <c r="F29" s="226">
        <f>936+F48</f>
        <v>1040</v>
      </c>
      <c r="G29" s="232">
        <f t="shared" si="0"/>
        <v>7350</v>
      </c>
      <c r="H29" s="226">
        <f>20287+H48</f>
        <v>21273</v>
      </c>
      <c r="I29" s="226">
        <f>0</f>
        <v>0</v>
      </c>
      <c r="J29" s="226">
        <v>6</v>
      </c>
      <c r="K29" s="232">
        <f t="shared" si="1"/>
        <v>21279</v>
      </c>
      <c r="L29" s="226">
        <f>0</f>
        <v>0</v>
      </c>
      <c r="M29" s="226">
        <f>589+M48</f>
        <v>603</v>
      </c>
      <c r="N29" s="226">
        <f>61</f>
        <v>61</v>
      </c>
      <c r="O29" s="234">
        <f>27907+O48</f>
        <v>29295</v>
      </c>
      <c r="P29" s="145">
        <f t="shared" si="2"/>
        <v>2302</v>
      </c>
      <c r="Q29" s="145">
        <f t="shared" si="3"/>
        <v>5048</v>
      </c>
      <c r="R29" s="145">
        <f t="shared" si="4"/>
        <v>21943</v>
      </c>
      <c r="S29" s="137">
        <f t="shared" si="5"/>
        <v>60107</v>
      </c>
      <c r="T29" s="235">
        <f t="shared" si="6"/>
        <v>5.1834431991831638E-2</v>
      </c>
      <c r="U29" s="145">
        <f t="shared" si="7"/>
        <v>2</v>
      </c>
    </row>
    <row r="30" spans="1:21" ht="11.25" customHeight="1">
      <c r="A30" s="144" t="s">
        <v>79</v>
      </c>
      <c r="B30" s="146">
        <v>580</v>
      </c>
      <c r="C30" s="146">
        <v>161</v>
      </c>
      <c r="D30" s="146">
        <v>255</v>
      </c>
      <c r="E30" s="146">
        <v>1088</v>
      </c>
      <c r="F30" s="146">
        <v>525</v>
      </c>
      <c r="G30" s="217">
        <f t="shared" si="0"/>
        <v>2609</v>
      </c>
      <c r="H30" s="146">
        <v>13463</v>
      </c>
      <c r="I30" s="146">
        <v>0</v>
      </c>
      <c r="J30" s="146">
        <v>0</v>
      </c>
      <c r="K30" s="217">
        <f t="shared" si="1"/>
        <v>13463</v>
      </c>
      <c r="L30" s="146">
        <v>940</v>
      </c>
      <c r="M30" s="146">
        <v>221</v>
      </c>
      <c r="N30" s="146">
        <v>22</v>
      </c>
      <c r="O30" s="219">
        <v>17255</v>
      </c>
      <c r="P30" s="145">
        <f t="shared" si="2"/>
        <v>835</v>
      </c>
      <c r="Q30" s="145">
        <f t="shared" si="3"/>
        <v>1774</v>
      </c>
      <c r="R30" s="145">
        <f t="shared" si="4"/>
        <v>14646</v>
      </c>
      <c r="S30" s="137">
        <f t="shared" si="5"/>
        <v>28318</v>
      </c>
      <c r="T30" s="235">
        <f t="shared" si="6"/>
        <v>2.4420574062000905E-2</v>
      </c>
      <c r="U30" s="145">
        <f t="shared" si="7"/>
        <v>0</v>
      </c>
    </row>
    <row r="31" spans="1:21" ht="11.25" customHeight="1">
      <c r="A31" s="144" t="s">
        <v>80</v>
      </c>
      <c r="B31" s="146">
        <v>21</v>
      </c>
      <c r="C31" s="146">
        <v>0</v>
      </c>
      <c r="D31" s="146">
        <v>6</v>
      </c>
      <c r="E31" s="146">
        <v>244</v>
      </c>
      <c r="F31" s="146">
        <v>94</v>
      </c>
      <c r="G31" s="217">
        <f t="shared" si="0"/>
        <v>365</v>
      </c>
      <c r="H31" s="146">
        <v>2438</v>
      </c>
      <c r="I31" s="146">
        <v>0</v>
      </c>
      <c r="J31" s="146">
        <v>60</v>
      </c>
      <c r="K31" s="217">
        <f t="shared" si="1"/>
        <v>2498</v>
      </c>
      <c r="L31" s="146">
        <v>0</v>
      </c>
      <c r="M31" s="146">
        <v>109</v>
      </c>
      <c r="N31" s="146">
        <v>3</v>
      </c>
      <c r="O31" s="219">
        <v>2975</v>
      </c>
      <c r="P31" s="145">
        <f t="shared" si="2"/>
        <v>27</v>
      </c>
      <c r="Q31" s="145">
        <f t="shared" si="3"/>
        <v>338</v>
      </c>
      <c r="R31" s="145">
        <f t="shared" si="4"/>
        <v>2610</v>
      </c>
      <c r="S31" s="137">
        <f t="shared" si="5"/>
        <v>3894</v>
      </c>
      <c r="T31" s="235">
        <f t="shared" si="6"/>
        <v>3.3580660850848053E-3</v>
      </c>
      <c r="U31" s="145">
        <f t="shared" si="7"/>
        <v>0</v>
      </c>
    </row>
    <row r="32" spans="1:21" ht="11.25" customHeight="1">
      <c r="A32" s="144" t="s">
        <v>81</v>
      </c>
      <c r="B32" s="146">
        <v>2361</v>
      </c>
      <c r="C32" s="146">
        <v>51</v>
      </c>
      <c r="D32" s="146">
        <v>369</v>
      </c>
      <c r="E32" s="146">
        <v>2806</v>
      </c>
      <c r="F32" s="146">
        <v>672</v>
      </c>
      <c r="G32" s="217">
        <f t="shared" si="0"/>
        <v>6259</v>
      </c>
      <c r="H32" s="146">
        <v>22283</v>
      </c>
      <c r="I32" s="146">
        <v>0</v>
      </c>
      <c r="J32" s="146">
        <v>234</v>
      </c>
      <c r="K32" s="217">
        <f t="shared" si="1"/>
        <v>22517</v>
      </c>
      <c r="L32" s="146">
        <v>0</v>
      </c>
      <c r="M32" s="146">
        <v>480</v>
      </c>
      <c r="N32" s="146">
        <v>71</v>
      </c>
      <c r="O32" s="219">
        <v>29329</v>
      </c>
      <c r="P32" s="145">
        <f t="shared" si="2"/>
        <v>2730</v>
      </c>
      <c r="Q32" s="145">
        <f t="shared" si="3"/>
        <v>3529</v>
      </c>
      <c r="R32" s="145">
        <f t="shared" si="4"/>
        <v>23068</v>
      </c>
      <c r="S32" s="137">
        <f t="shared" si="5"/>
        <v>60955</v>
      </c>
      <c r="T32" s="235">
        <f t="shared" si="6"/>
        <v>5.2565721164957453E-2</v>
      </c>
      <c r="U32" s="145">
        <f t="shared" si="7"/>
        <v>2</v>
      </c>
    </row>
    <row r="33" spans="1:21" ht="11.25" customHeight="1">
      <c r="A33" s="144" t="s">
        <v>52</v>
      </c>
      <c r="B33" s="146">
        <v>616</v>
      </c>
      <c r="C33" s="146">
        <v>344</v>
      </c>
      <c r="D33" s="146">
        <v>74</v>
      </c>
      <c r="E33" s="146">
        <v>3130</v>
      </c>
      <c r="F33" s="146">
        <v>727</v>
      </c>
      <c r="G33" s="217">
        <f t="shared" si="0"/>
        <v>4891</v>
      </c>
      <c r="H33" s="146">
        <v>16657</v>
      </c>
      <c r="I33" s="146">
        <v>0</v>
      </c>
      <c r="J33" s="146">
        <v>368</v>
      </c>
      <c r="K33" s="217">
        <f t="shared" si="1"/>
        <v>17025</v>
      </c>
      <c r="L33" s="146">
        <v>72</v>
      </c>
      <c r="M33" s="146">
        <v>68</v>
      </c>
      <c r="N33" s="146">
        <v>70</v>
      </c>
      <c r="O33" s="219">
        <v>22126</v>
      </c>
      <c r="P33" s="145">
        <f t="shared" si="2"/>
        <v>690</v>
      </c>
      <c r="Q33" s="145">
        <f t="shared" si="3"/>
        <v>4201</v>
      </c>
      <c r="R33" s="145">
        <f t="shared" si="4"/>
        <v>17235</v>
      </c>
      <c r="S33" s="137">
        <f t="shared" si="5"/>
        <v>36738</v>
      </c>
      <c r="T33" s="235">
        <f t="shared" si="6"/>
        <v>3.1681723634783152E-2</v>
      </c>
      <c r="U33" s="145">
        <f t="shared" si="7"/>
        <v>0</v>
      </c>
    </row>
    <row r="34" spans="1:21" ht="11.25" customHeight="1">
      <c r="A34" s="144" t="s">
        <v>41</v>
      </c>
      <c r="B34" s="146">
        <v>109</v>
      </c>
      <c r="C34" s="146">
        <v>28</v>
      </c>
      <c r="D34" s="146">
        <v>22</v>
      </c>
      <c r="E34" s="146">
        <v>2037</v>
      </c>
      <c r="F34" s="146">
        <v>547</v>
      </c>
      <c r="G34" s="217">
        <f t="shared" si="0"/>
        <v>2743</v>
      </c>
      <c r="H34" s="146">
        <v>8207</v>
      </c>
      <c r="I34" s="146">
        <v>195</v>
      </c>
      <c r="J34" s="146">
        <v>240</v>
      </c>
      <c r="K34" s="217">
        <f t="shared" si="1"/>
        <v>8642</v>
      </c>
      <c r="L34" s="146">
        <v>236</v>
      </c>
      <c r="M34" s="146">
        <v>433</v>
      </c>
      <c r="N34" s="146">
        <v>170</v>
      </c>
      <c r="O34" s="219">
        <v>12224</v>
      </c>
      <c r="P34" s="145">
        <f t="shared" si="2"/>
        <v>131</v>
      </c>
      <c r="Q34" s="145">
        <f t="shared" si="3"/>
        <v>2612</v>
      </c>
      <c r="R34" s="145">
        <f t="shared" si="4"/>
        <v>9481</v>
      </c>
      <c r="S34" s="137">
        <f t="shared" si="5"/>
        <v>18627</v>
      </c>
      <c r="T34" s="235">
        <f t="shared" si="6"/>
        <v>1.6063353098837871E-2</v>
      </c>
      <c r="U34" s="145">
        <f t="shared" si="7"/>
        <v>0</v>
      </c>
    </row>
    <row r="35" spans="1:21" ht="11.25" customHeight="1">
      <c r="A35" s="144" t="s">
        <v>82</v>
      </c>
      <c r="B35" s="146">
        <v>2204</v>
      </c>
      <c r="C35" s="146">
        <v>38</v>
      </c>
      <c r="D35" s="146">
        <v>554</v>
      </c>
      <c r="E35" s="146">
        <v>4040</v>
      </c>
      <c r="F35" s="146">
        <v>1168</v>
      </c>
      <c r="G35" s="217">
        <f t="shared" si="0"/>
        <v>8004</v>
      </c>
      <c r="H35" s="146">
        <v>27482</v>
      </c>
      <c r="I35" s="146">
        <v>0</v>
      </c>
      <c r="J35" s="146">
        <v>166</v>
      </c>
      <c r="K35" s="217">
        <f t="shared" si="1"/>
        <v>27648</v>
      </c>
      <c r="L35" s="146">
        <v>28</v>
      </c>
      <c r="M35" s="146">
        <v>478</v>
      </c>
      <c r="N35" s="146">
        <v>431</v>
      </c>
      <c r="O35" s="219">
        <v>36589</v>
      </c>
      <c r="P35" s="145">
        <f t="shared" si="2"/>
        <v>2758</v>
      </c>
      <c r="Q35" s="145">
        <f t="shared" si="3"/>
        <v>5246</v>
      </c>
      <c r="R35" s="145">
        <f t="shared" si="4"/>
        <v>28585</v>
      </c>
      <c r="S35" s="137">
        <f t="shared" si="5"/>
        <v>71903</v>
      </c>
      <c r="T35" s="235">
        <f t="shared" si="6"/>
        <v>6.200694034819023E-2</v>
      </c>
      <c r="U35" s="145">
        <f t="shared" si="7"/>
        <v>0</v>
      </c>
    </row>
    <row r="36" spans="1:21" ht="11.25" customHeight="1">
      <c r="A36" s="227" t="s">
        <v>54</v>
      </c>
      <c r="B36" s="216">
        <f>617+B49</f>
        <v>632</v>
      </c>
      <c r="C36" s="216">
        <f>1</f>
        <v>1</v>
      </c>
      <c r="D36" s="216">
        <f>106+D49</f>
        <v>110</v>
      </c>
      <c r="E36" s="216">
        <f>210+E49</f>
        <v>220</v>
      </c>
      <c r="F36" s="216">
        <f>268+F49</f>
        <v>302</v>
      </c>
      <c r="G36" s="218">
        <f t="shared" si="0"/>
        <v>1265</v>
      </c>
      <c r="H36" s="216">
        <f>10715+H49</f>
        <v>11054</v>
      </c>
      <c r="I36" s="216">
        <v>0</v>
      </c>
      <c r="J36" s="216">
        <f>67+J49</f>
        <v>514</v>
      </c>
      <c r="K36" s="218">
        <f t="shared" si="1"/>
        <v>11568</v>
      </c>
      <c r="L36" s="216">
        <v>266</v>
      </c>
      <c r="M36" s="216">
        <f>10+M49</f>
        <v>11</v>
      </c>
      <c r="N36" s="216">
        <f>101+N49</f>
        <v>104</v>
      </c>
      <c r="O36" s="220">
        <f>12360+O49</f>
        <v>13215</v>
      </c>
      <c r="P36" s="145">
        <f t="shared" si="2"/>
        <v>742</v>
      </c>
      <c r="Q36" s="145">
        <f t="shared" si="3"/>
        <v>523</v>
      </c>
      <c r="R36" s="145">
        <f t="shared" si="4"/>
        <v>11949</v>
      </c>
      <c r="S36" s="137">
        <f t="shared" si="5"/>
        <v>20938</v>
      </c>
      <c r="T36" s="235">
        <f t="shared" si="6"/>
        <v>1.8056288569467296E-2</v>
      </c>
      <c r="U36" s="145">
        <f t="shared" si="7"/>
        <v>1</v>
      </c>
    </row>
    <row r="37" spans="1:21" ht="11.25" customHeight="1">
      <c r="A37" s="144" t="s">
        <v>21</v>
      </c>
      <c r="B37" s="146">
        <v>699</v>
      </c>
      <c r="C37" s="146">
        <v>8</v>
      </c>
      <c r="D37" s="146">
        <v>160</v>
      </c>
      <c r="E37" s="146">
        <v>4112</v>
      </c>
      <c r="F37" s="146">
        <v>1476</v>
      </c>
      <c r="G37" s="217">
        <f t="shared" si="0"/>
        <v>6455</v>
      </c>
      <c r="H37" s="146">
        <v>14890</v>
      </c>
      <c r="I37" s="146">
        <v>0</v>
      </c>
      <c r="J37" s="146">
        <v>46</v>
      </c>
      <c r="K37" s="217">
        <f t="shared" si="1"/>
        <v>14936</v>
      </c>
      <c r="L37" s="146">
        <v>122</v>
      </c>
      <c r="M37" s="146">
        <v>150</v>
      </c>
      <c r="N37" s="146">
        <v>30</v>
      </c>
      <c r="O37" s="219">
        <v>21694</v>
      </c>
      <c r="P37" s="145">
        <f t="shared" si="2"/>
        <v>859</v>
      </c>
      <c r="Q37" s="145">
        <f t="shared" si="3"/>
        <v>5596</v>
      </c>
      <c r="R37" s="145">
        <f t="shared" si="4"/>
        <v>15238</v>
      </c>
      <c r="S37" s="137">
        <f t="shared" si="5"/>
        <v>40616</v>
      </c>
      <c r="T37" s="235">
        <f t="shared" si="6"/>
        <v>3.502599181094105E-2</v>
      </c>
      <c r="U37" s="145">
        <f t="shared" si="7"/>
        <v>1</v>
      </c>
    </row>
    <row r="38" spans="1:21" ht="11.25" customHeight="1">
      <c r="A38" s="144" t="s">
        <v>42</v>
      </c>
      <c r="B38" s="146">
        <v>33</v>
      </c>
      <c r="C38" s="146">
        <v>0</v>
      </c>
      <c r="D38" s="146">
        <v>13</v>
      </c>
      <c r="E38" s="146">
        <v>198</v>
      </c>
      <c r="F38" s="146">
        <v>50</v>
      </c>
      <c r="G38" s="217">
        <f t="shared" si="0"/>
        <v>294</v>
      </c>
      <c r="H38" s="146">
        <v>2358</v>
      </c>
      <c r="I38" s="146">
        <v>0</v>
      </c>
      <c r="J38" s="146">
        <v>0</v>
      </c>
      <c r="K38" s="217">
        <f t="shared" si="1"/>
        <v>2358</v>
      </c>
      <c r="L38" s="146">
        <v>0</v>
      </c>
      <c r="M38" s="146">
        <v>165</v>
      </c>
      <c r="N38" s="146">
        <v>21</v>
      </c>
      <c r="O38" s="219">
        <v>2838</v>
      </c>
      <c r="P38" s="145">
        <f t="shared" si="2"/>
        <v>46</v>
      </c>
      <c r="Q38" s="145">
        <f t="shared" si="3"/>
        <v>248</v>
      </c>
      <c r="R38" s="145">
        <f t="shared" si="4"/>
        <v>2544</v>
      </c>
      <c r="S38" s="137">
        <f t="shared" si="5"/>
        <v>3748</v>
      </c>
      <c r="T38" s="235">
        <f t="shared" si="6"/>
        <v>3.2321601661268236E-3</v>
      </c>
      <c r="U38" s="145">
        <f t="shared" si="7"/>
        <v>0</v>
      </c>
    </row>
    <row r="39" spans="1:21" ht="11.25" customHeight="1">
      <c r="A39" s="144" t="s">
        <v>83</v>
      </c>
      <c r="B39" s="146">
        <v>1186</v>
      </c>
      <c r="C39" s="146">
        <v>0</v>
      </c>
      <c r="D39" s="146">
        <v>217</v>
      </c>
      <c r="E39" s="146">
        <v>810</v>
      </c>
      <c r="F39" s="146">
        <v>453</v>
      </c>
      <c r="G39" s="217">
        <f t="shared" si="0"/>
        <v>2666</v>
      </c>
      <c r="H39" s="146">
        <v>10935</v>
      </c>
      <c r="I39" s="146">
        <v>0</v>
      </c>
      <c r="J39" s="146">
        <v>23</v>
      </c>
      <c r="K39" s="217">
        <f t="shared" si="1"/>
        <v>10958</v>
      </c>
      <c r="L39" s="146">
        <v>29</v>
      </c>
      <c r="M39" s="146">
        <v>2</v>
      </c>
      <c r="N39" s="146">
        <v>119</v>
      </c>
      <c r="O39" s="219">
        <v>13774</v>
      </c>
      <c r="P39" s="145">
        <f t="shared" si="2"/>
        <v>1403</v>
      </c>
      <c r="Q39" s="145">
        <f t="shared" si="3"/>
        <v>1263</v>
      </c>
      <c r="R39" s="145">
        <f t="shared" si="4"/>
        <v>11108</v>
      </c>
      <c r="S39" s="137">
        <f t="shared" si="5"/>
        <v>28927</v>
      </c>
      <c r="T39" s="235">
        <f t="shared" si="6"/>
        <v>2.4945756970531117E-2</v>
      </c>
      <c r="U39" s="145">
        <f t="shared" si="7"/>
        <v>0</v>
      </c>
    </row>
    <row r="40" spans="1:21" ht="11.25" customHeight="1">
      <c r="A40" s="144" t="s">
        <v>22</v>
      </c>
      <c r="B40" s="146">
        <v>489</v>
      </c>
      <c r="C40" s="146">
        <v>1</v>
      </c>
      <c r="D40" s="146">
        <v>87</v>
      </c>
      <c r="E40" s="146">
        <v>2201</v>
      </c>
      <c r="F40" s="146">
        <v>765</v>
      </c>
      <c r="G40" s="217">
        <f t="shared" si="0"/>
        <v>3543</v>
      </c>
      <c r="H40" s="146">
        <v>20035</v>
      </c>
      <c r="I40" s="146">
        <v>0</v>
      </c>
      <c r="J40" s="146">
        <v>111</v>
      </c>
      <c r="K40" s="217">
        <f t="shared" si="1"/>
        <v>20146</v>
      </c>
      <c r="L40" s="146">
        <v>0</v>
      </c>
      <c r="M40" s="146">
        <v>344</v>
      </c>
      <c r="N40" s="146">
        <v>8</v>
      </c>
      <c r="O40" s="219">
        <v>24042</v>
      </c>
      <c r="P40" s="145">
        <f t="shared" si="2"/>
        <v>576</v>
      </c>
      <c r="Q40" s="145">
        <f t="shared" si="3"/>
        <v>2967</v>
      </c>
      <c r="R40" s="145">
        <f t="shared" si="4"/>
        <v>20498</v>
      </c>
      <c r="S40" s="137">
        <f t="shared" si="5"/>
        <v>35159</v>
      </c>
      <c r="T40" s="235">
        <f t="shared" si="6"/>
        <v>3.0320042497559496E-2</v>
      </c>
      <c r="U40" s="145">
        <f t="shared" si="7"/>
        <v>1</v>
      </c>
    </row>
    <row r="41" spans="1:21" ht="11.25" customHeight="1">
      <c r="A41" s="144" t="s">
        <v>23</v>
      </c>
      <c r="B41" s="146">
        <v>706</v>
      </c>
      <c r="C41" s="146">
        <v>8</v>
      </c>
      <c r="D41" s="146">
        <v>167</v>
      </c>
      <c r="E41" s="146">
        <v>2533</v>
      </c>
      <c r="F41" s="146">
        <v>630</v>
      </c>
      <c r="G41" s="217">
        <f t="shared" si="0"/>
        <v>4044</v>
      </c>
      <c r="H41" s="146">
        <v>10819</v>
      </c>
      <c r="I41" s="146">
        <v>0</v>
      </c>
      <c r="J41" s="146">
        <v>1</v>
      </c>
      <c r="K41" s="217">
        <f t="shared" si="1"/>
        <v>10820</v>
      </c>
      <c r="L41" s="146">
        <v>60</v>
      </c>
      <c r="M41" s="146">
        <v>362</v>
      </c>
      <c r="N41" s="146">
        <v>4</v>
      </c>
      <c r="O41" s="219">
        <v>15290</v>
      </c>
      <c r="P41" s="145">
        <f t="shared" si="2"/>
        <v>873</v>
      </c>
      <c r="Q41" s="145">
        <f t="shared" si="3"/>
        <v>3171</v>
      </c>
      <c r="R41" s="145">
        <f t="shared" si="4"/>
        <v>11246</v>
      </c>
      <c r="S41" s="137">
        <f t="shared" si="5"/>
        <v>29489</v>
      </c>
      <c r="T41" s="235">
        <f t="shared" si="6"/>
        <v>2.5430408521588552E-2</v>
      </c>
      <c r="U41" s="145">
        <f t="shared" si="7"/>
        <v>0</v>
      </c>
    </row>
    <row r="42" spans="1:21" ht="11.25" customHeight="1">
      <c r="A42" s="144" t="s">
        <v>259</v>
      </c>
      <c r="B42" s="146">
        <v>337</v>
      </c>
      <c r="C42" s="146">
        <v>13</v>
      </c>
      <c r="D42" s="146">
        <v>37</v>
      </c>
      <c r="E42" s="146">
        <v>2073</v>
      </c>
      <c r="F42" s="146">
        <v>530</v>
      </c>
      <c r="G42" s="217">
        <f t="shared" si="0"/>
        <v>2990</v>
      </c>
      <c r="H42" s="146">
        <v>10974</v>
      </c>
      <c r="I42" s="146">
        <v>0</v>
      </c>
      <c r="J42" s="146">
        <v>13</v>
      </c>
      <c r="K42" s="217">
        <f t="shared" si="1"/>
        <v>10987</v>
      </c>
      <c r="L42" s="146">
        <v>112</v>
      </c>
      <c r="M42" s="146">
        <v>199</v>
      </c>
      <c r="N42" s="146">
        <v>15</v>
      </c>
      <c r="O42" s="219">
        <v>14303</v>
      </c>
      <c r="P42" s="145">
        <f t="shared" si="2"/>
        <v>374</v>
      </c>
      <c r="Q42" s="145">
        <f t="shared" si="3"/>
        <v>2616</v>
      </c>
      <c r="R42" s="145">
        <f t="shared" si="4"/>
        <v>11313</v>
      </c>
      <c r="S42" s="137">
        <f t="shared" si="5"/>
        <v>22901</v>
      </c>
      <c r="T42" s="235">
        <f t="shared" si="6"/>
        <v>1.9749119520936602E-2</v>
      </c>
      <c r="U42" s="145">
        <f t="shared" si="7"/>
        <v>0</v>
      </c>
    </row>
    <row r="43" spans="1:21" ht="12" thickBot="1">
      <c r="A43" s="504" t="s">
        <v>10</v>
      </c>
      <c r="B43" s="259">
        <f>SUM(B4:B42)</f>
        <v>27272</v>
      </c>
      <c r="C43" s="259">
        <f>SUM(C4:C42)</f>
        <v>1179</v>
      </c>
      <c r="D43" s="259">
        <f>SUM(D4:D42)</f>
        <v>5751</v>
      </c>
      <c r="E43" s="259">
        <f>SUM(E4:E42)</f>
        <v>71440</v>
      </c>
      <c r="F43" s="259">
        <f>SUM(F4:F42)</f>
        <v>28971</v>
      </c>
      <c r="G43" s="260">
        <f t="shared" si="0"/>
        <v>134613</v>
      </c>
      <c r="H43" s="259">
        <f>SUM(H4:H42)</f>
        <v>503598</v>
      </c>
      <c r="I43" s="259">
        <f>SUM(I4:I42)</f>
        <v>911</v>
      </c>
      <c r="J43" s="259">
        <f>SUM(J4:J42)</f>
        <v>5483</v>
      </c>
      <c r="K43" s="260">
        <f t="shared" si="1"/>
        <v>509992</v>
      </c>
      <c r="L43" s="259">
        <f t="shared" ref="L43:T43" si="8">SUM(L4:L42)</f>
        <v>2778</v>
      </c>
      <c r="M43" s="259">
        <f t="shared" si="8"/>
        <v>9136</v>
      </c>
      <c r="N43" s="259">
        <f t="shared" si="8"/>
        <v>2690</v>
      </c>
      <c r="O43" s="261">
        <f t="shared" si="8"/>
        <v>659210</v>
      </c>
      <c r="P43" s="259">
        <f t="shared" si="8"/>
        <v>33023</v>
      </c>
      <c r="Q43" s="259">
        <f t="shared" si="8"/>
        <v>101590</v>
      </c>
      <c r="R43" s="259">
        <f t="shared" si="8"/>
        <v>524596</v>
      </c>
      <c r="S43" s="259">
        <f t="shared" si="8"/>
        <v>1159596</v>
      </c>
      <c r="T43" s="211">
        <f t="shared" si="8"/>
        <v>1.0000000000000002</v>
      </c>
      <c r="U43" s="440"/>
    </row>
    <row r="44" spans="1:21" ht="11.25" customHeight="1">
      <c r="A44" s="144" t="s">
        <v>299</v>
      </c>
      <c r="B44" s="146">
        <f>'Tbl 35 2003'!B43</f>
        <v>25749</v>
      </c>
      <c r="C44" s="146">
        <f>'Tbl 35 2003'!C43</f>
        <v>1060</v>
      </c>
      <c r="D44" s="146">
        <f>'Tbl 35 2003'!D43</f>
        <v>5878</v>
      </c>
      <c r="E44" s="146">
        <f>'Tbl 35 2003'!E43</f>
        <v>64102</v>
      </c>
      <c r="F44" s="146">
        <f>'Tbl 35 2003'!F43</f>
        <v>29686</v>
      </c>
      <c r="G44" s="217">
        <f>'Tbl 35 2003'!G43</f>
        <v>126475</v>
      </c>
      <c r="H44" s="146">
        <f>'Tbl 35 2003'!H43</f>
        <v>498904</v>
      </c>
      <c r="I44" s="146">
        <f>'Tbl 35 2003'!I43</f>
        <v>1031</v>
      </c>
      <c r="J44" s="146">
        <f>'Tbl 35 2003'!J43</f>
        <v>7462</v>
      </c>
      <c r="K44" s="217">
        <f>'Tbl 35 2003'!K43</f>
        <v>507397</v>
      </c>
      <c r="L44" s="146">
        <f>'Tbl 35 2003'!L43</f>
        <v>2965</v>
      </c>
      <c r="M44" s="146">
        <f>'Tbl 35 2003'!M43</f>
        <v>9444</v>
      </c>
      <c r="N44" s="146">
        <f>'Tbl 35 2003'!N43</f>
        <v>2744</v>
      </c>
      <c r="O44" s="219">
        <f>'Tbl 35 2003'!O43</f>
        <v>649017</v>
      </c>
      <c r="P44" s="228">
        <f>'Tbl 35 2003'!P43</f>
        <v>31627</v>
      </c>
      <c r="Q44" s="228">
        <f>'Tbl 35 2003'!Q43</f>
        <v>94848</v>
      </c>
      <c r="R44" s="228">
        <f>'Tbl 35 2003'!R43</f>
        <v>522550</v>
      </c>
      <c r="S44" s="228">
        <f>'Tbl 35 2003'!S43</f>
        <v>1123364</v>
      </c>
    </row>
    <row r="45" spans="1:21" ht="11.25" customHeight="1">
      <c r="A45" s="147" t="s">
        <v>300</v>
      </c>
      <c r="B45" s="223">
        <f>(B43-B44)/B44</f>
        <v>5.9147928074876698E-2</v>
      </c>
      <c r="C45" s="223">
        <f t="shared" ref="C45:S45" si="9">(C43-C44)/C44</f>
        <v>0.11226415094339623</v>
      </c>
      <c r="D45" s="223">
        <f t="shared" si="9"/>
        <v>-2.1605988431439266E-2</v>
      </c>
      <c r="E45" s="223">
        <f t="shared" si="9"/>
        <v>0.11447380736950485</v>
      </c>
      <c r="F45" s="223">
        <f t="shared" si="9"/>
        <v>-2.4085427474230276E-2</v>
      </c>
      <c r="G45" s="233">
        <f t="shared" si="9"/>
        <v>6.4344732160506027E-2</v>
      </c>
      <c r="H45" s="223">
        <f t="shared" si="9"/>
        <v>9.4086237031573202E-3</v>
      </c>
      <c r="I45" s="223">
        <f t="shared" si="9"/>
        <v>-0.11639185257032007</v>
      </c>
      <c r="J45" s="223">
        <f t="shared" si="9"/>
        <v>-0.26521039935674084</v>
      </c>
      <c r="K45" s="233">
        <f t="shared" si="9"/>
        <v>5.1143384765775122E-3</v>
      </c>
      <c r="L45" s="223">
        <f t="shared" si="9"/>
        <v>-6.3069139966273183E-2</v>
      </c>
      <c r="M45" s="223">
        <f t="shared" si="9"/>
        <v>-3.2613299449385853E-2</v>
      </c>
      <c r="N45" s="223">
        <f t="shared" si="9"/>
        <v>-1.9679300291545191E-2</v>
      </c>
      <c r="O45" s="237">
        <f t="shared" si="9"/>
        <v>1.5705289691949516E-2</v>
      </c>
      <c r="P45" s="231">
        <f t="shared" si="9"/>
        <v>4.4139501059221549E-2</v>
      </c>
      <c r="Q45" s="231">
        <f t="shared" si="9"/>
        <v>7.108215249662618E-2</v>
      </c>
      <c r="R45" s="231">
        <f t="shared" si="9"/>
        <v>3.9154147928427904E-3</v>
      </c>
      <c r="S45" s="231">
        <f t="shared" si="9"/>
        <v>3.2253125433964414E-2</v>
      </c>
    </row>
    <row r="46" spans="1:21" ht="11.25" customHeight="1">
      <c r="A46" s="137"/>
    </row>
    <row r="47" spans="1:21" ht="11.25" customHeight="1">
      <c r="A47" s="138" t="s">
        <v>260</v>
      </c>
    </row>
    <row r="48" spans="1:21" ht="11.25" customHeight="1">
      <c r="A48" s="225" t="s">
        <v>246</v>
      </c>
      <c r="B48" s="226">
        <v>81</v>
      </c>
      <c r="C48" s="226">
        <v>5</v>
      </c>
      <c r="D48" s="226">
        <v>13</v>
      </c>
      <c r="E48" s="226">
        <v>184</v>
      </c>
      <c r="F48" s="226">
        <v>104</v>
      </c>
      <c r="G48" s="226">
        <f>SUM(B48:F48)</f>
        <v>387</v>
      </c>
      <c r="H48" s="226">
        <v>986</v>
      </c>
      <c r="I48" s="226">
        <v>0</v>
      </c>
      <c r="J48" s="226">
        <v>0</v>
      </c>
      <c r="K48" s="226">
        <f>SUM(H48:J48)</f>
        <v>986</v>
      </c>
      <c r="L48" s="226">
        <v>0</v>
      </c>
      <c r="M48" s="226">
        <v>14</v>
      </c>
      <c r="N48" s="226">
        <v>0</v>
      </c>
      <c r="O48" s="226">
        <v>1388</v>
      </c>
    </row>
    <row r="49" spans="1:15" ht="11.25" customHeight="1">
      <c r="A49" s="227" t="s">
        <v>240</v>
      </c>
      <c r="B49" s="216">
        <v>15</v>
      </c>
      <c r="C49" s="216">
        <v>0</v>
      </c>
      <c r="D49" s="216">
        <v>4</v>
      </c>
      <c r="E49" s="216">
        <v>10</v>
      </c>
      <c r="F49" s="216">
        <v>34</v>
      </c>
      <c r="G49" s="216">
        <f>SUM(B49:F49)</f>
        <v>63</v>
      </c>
      <c r="H49" s="216">
        <v>339</v>
      </c>
      <c r="I49" s="216">
        <v>0</v>
      </c>
      <c r="J49" s="216">
        <v>447</v>
      </c>
      <c r="K49" s="216">
        <f>SUM(H49:J49)</f>
        <v>786</v>
      </c>
      <c r="L49" s="216">
        <v>0</v>
      </c>
      <c r="M49" s="216">
        <v>1</v>
      </c>
      <c r="N49" s="216">
        <v>3</v>
      </c>
      <c r="O49" s="216">
        <v>855</v>
      </c>
    </row>
  </sheetData>
  <autoFilter ref="A3:S3" xr:uid="{00000000-0009-0000-0000-00000A000000}">
    <sortState xmlns:xlrd2="http://schemas.microsoft.com/office/spreadsheetml/2017/richdata2" ref="A5:S52">
      <sortCondition ref="A4"/>
    </sortState>
  </autoFilter>
  <hyperlinks>
    <hyperlink ref="A1" location="Index!A1" display="&lt; Back to Index &gt;" xr:uid="{00000000-0004-0000-0A00-000000000000}"/>
    <hyperlink ref="H1" location="'Ave weight 1996-2013'!A1" display="Ave weight 1996-2013" xr:uid="{00000000-0004-0000-0A00-000001000000}"/>
    <hyperlink ref="U1" location="'Ave weight 1996-2013'!A1" display="Ave weight 1996-2013" xr:uid="{00000000-0004-0000-0A00-000002000000}"/>
  </hyperlinks>
  <pageMargins left="0.35433070866141736" right="0.35433070866141736" top="0.98425196850393704" bottom="0.98425196850393704" header="0.51181102362204722" footer="0.51181102362204722"/>
  <pageSetup paperSize="9" scale="79" fitToHeight="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61"/>
  <sheetViews>
    <sheetView zoomScaleNormal="100" workbookViewId="0">
      <pane xSplit="1" ySplit="3" topLeftCell="H4" activePane="bottomRight" state="frozen"/>
      <selection pane="topRight" activeCell="C1" sqref="C1"/>
      <selection pane="bottomLeft" activeCell="A9" sqref="A9"/>
      <selection pane="bottomRight" activeCell="U1" sqref="U1"/>
    </sheetView>
  </sheetViews>
  <sheetFormatPr defaultColWidth="9.140625" defaultRowHeight="11.25"/>
  <cols>
    <col min="1" max="1" width="27.42578125" style="137" customWidth="1"/>
    <col min="2" max="2" width="9.42578125" style="137" bestFit="1" customWidth="1"/>
    <col min="3" max="3" width="9.85546875" style="137" bestFit="1" customWidth="1"/>
    <col min="4" max="4" width="8.7109375" style="137" customWidth="1"/>
    <col min="5" max="5" width="9" style="137" customWidth="1"/>
    <col min="6" max="6" width="10" style="137" customWidth="1"/>
    <col min="7" max="7" width="9.42578125" style="242" bestFit="1" customWidth="1"/>
    <col min="8" max="8" width="9.42578125" style="137" bestFit="1" customWidth="1"/>
    <col min="9" max="9" width="8" style="137" bestFit="1" customWidth="1"/>
    <col min="10" max="10" width="8.7109375" style="137" customWidth="1"/>
    <col min="11" max="11" width="9.42578125" style="242" bestFit="1" customWidth="1"/>
    <col min="12" max="12" width="7.85546875" style="137" bestFit="1" customWidth="1"/>
    <col min="13" max="13" width="7.7109375" style="137" customWidth="1"/>
    <col min="14" max="14" width="9.42578125" style="137" customWidth="1"/>
    <col min="15" max="15" width="9.42578125" style="242" customWidth="1"/>
    <col min="16" max="16" width="9.42578125" style="137" bestFit="1" customWidth="1"/>
    <col min="17" max="17" width="10.140625" style="137" customWidth="1"/>
    <col min="18" max="18" width="10.42578125" style="137" customWidth="1"/>
    <col min="19" max="19" width="9.42578125" style="137" customWidth="1"/>
    <col min="20" max="20" width="9.42578125" style="137" bestFit="1" customWidth="1"/>
    <col min="21" max="22" width="9.28515625" style="137" bestFit="1" customWidth="1"/>
    <col min="23" max="16384" width="9.140625" style="137"/>
  </cols>
  <sheetData>
    <row r="1" spans="1:21" ht="12.75">
      <c r="A1" s="288" t="s">
        <v>286</v>
      </c>
      <c r="U1" s="523" t="s">
        <v>304</v>
      </c>
    </row>
    <row r="2" spans="1:21" ht="12.75" customHeight="1">
      <c r="A2" s="738" t="s">
        <v>253</v>
      </c>
      <c r="B2" s="738"/>
      <c r="C2" s="738"/>
      <c r="D2" s="738"/>
      <c r="E2" s="738"/>
      <c r="F2" s="738"/>
      <c r="G2" s="738"/>
      <c r="H2" s="738"/>
      <c r="I2" s="738"/>
      <c r="J2" s="738"/>
      <c r="K2" s="738"/>
      <c r="L2" s="738"/>
      <c r="M2" s="738"/>
      <c r="N2" s="738"/>
      <c r="O2" s="738"/>
      <c r="P2" s="738"/>
    </row>
    <row r="3" spans="1:21" s="144" customFormat="1" ht="33.75">
      <c r="A3" s="437" t="s">
        <v>94</v>
      </c>
      <c r="B3" s="434" t="s">
        <v>0</v>
      </c>
      <c r="C3" s="434" t="s">
        <v>1</v>
      </c>
      <c r="D3" s="434" t="s">
        <v>2</v>
      </c>
      <c r="E3" s="434" t="s">
        <v>3</v>
      </c>
      <c r="F3" s="434" t="s">
        <v>4</v>
      </c>
      <c r="G3" s="435" t="s">
        <v>11</v>
      </c>
      <c r="H3" s="434" t="s">
        <v>5</v>
      </c>
      <c r="I3" s="434" t="s">
        <v>6</v>
      </c>
      <c r="J3" s="434" t="s">
        <v>7</v>
      </c>
      <c r="K3" s="435" t="s">
        <v>12</v>
      </c>
      <c r="L3" s="434" t="s">
        <v>8</v>
      </c>
      <c r="M3" s="434" t="s">
        <v>9</v>
      </c>
      <c r="N3" s="434" t="s">
        <v>252</v>
      </c>
      <c r="O3" s="435" t="s">
        <v>301</v>
      </c>
      <c r="P3" s="436" t="s">
        <v>251</v>
      </c>
      <c r="Q3" s="447" t="s">
        <v>86</v>
      </c>
      <c r="R3" s="447" t="s">
        <v>87</v>
      </c>
      <c r="S3" s="447" t="s">
        <v>88</v>
      </c>
      <c r="T3" s="447" t="s">
        <v>89</v>
      </c>
      <c r="U3" s="447" t="s">
        <v>90</v>
      </c>
    </row>
    <row r="4" spans="1:21">
      <c r="A4" s="144" t="s">
        <v>62</v>
      </c>
      <c r="B4" s="143">
        <v>170</v>
      </c>
      <c r="C4" s="143">
        <v>9</v>
      </c>
      <c r="D4" s="143">
        <v>30</v>
      </c>
      <c r="E4" s="143">
        <v>644</v>
      </c>
      <c r="F4" s="143">
        <v>679</v>
      </c>
      <c r="G4" s="249">
        <f t="shared" ref="G4:G43" si="0">SUM(A4:F4)</f>
        <v>1532</v>
      </c>
      <c r="H4" s="142">
        <v>7528</v>
      </c>
      <c r="I4" s="143">
        <v>30</v>
      </c>
      <c r="J4" s="143">
        <v>120</v>
      </c>
      <c r="K4" s="249">
        <f t="shared" ref="K4:K43" si="1">SUM(H4:J4)</f>
        <v>7678</v>
      </c>
      <c r="L4" s="143">
        <v>0</v>
      </c>
      <c r="M4" s="143">
        <v>265</v>
      </c>
      <c r="N4" s="143">
        <v>55</v>
      </c>
      <c r="O4" s="238">
        <f t="shared" ref="O4:O42" si="2">SUM(L4:N4)</f>
        <v>320</v>
      </c>
      <c r="P4" s="254">
        <v>9529</v>
      </c>
      <c r="Q4" s="137">
        <f t="shared" ref="Q4:Q42" si="3">B4+D4</f>
        <v>200</v>
      </c>
      <c r="R4" s="137">
        <f t="shared" ref="R4:R42" si="4">C4+E4+F4</f>
        <v>1332</v>
      </c>
      <c r="S4" s="145">
        <f t="shared" ref="S4:S42" si="5">K4+O4</f>
        <v>7998</v>
      </c>
      <c r="T4" s="137">
        <f>(Q4*10)+(R4*3)+S4</f>
        <v>13994</v>
      </c>
      <c r="U4" s="235">
        <f>T4/$T$43</f>
        <v>1.1870810564122227E-2</v>
      </c>
    </row>
    <row r="5" spans="1:21">
      <c r="A5" s="144" t="s">
        <v>84</v>
      </c>
      <c r="B5" s="142">
        <v>1603</v>
      </c>
      <c r="C5" s="143">
        <v>10</v>
      </c>
      <c r="D5" s="143">
        <v>74</v>
      </c>
      <c r="E5" s="142">
        <v>1070</v>
      </c>
      <c r="F5" s="143">
        <v>611</v>
      </c>
      <c r="G5" s="249">
        <f t="shared" si="0"/>
        <v>3368</v>
      </c>
      <c r="H5" s="142">
        <v>7335</v>
      </c>
      <c r="I5" s="143">
        <v>1</v>
      </c>
      <c r="J5" s="143">
        <v>26</v>
      </c>
      <c r="K5" s="249">
        <f t="shared" si="1"/>
        <v>7362</v>
      </c>
      <c r="L5" s="143">
        <v>0</v>
      </c>
      <c r="M5" s="143">
        <v>117</v>
      </c>
      <c r="N5" s="143">
        <v>33</v>
      </c>
      <c r="O5" s="238">
        <f t="shared" si="2"/>
        <v>150</v>
      </c>
      <c r="P5" s="254">
        <v>10880</v>
      </c>
      <c r="Q5" s="137">
        <f t="shared" si="3"/>
        <v>1677</v>
      </c>
      <c r="R5" s="137">
        <f t="shared" si="4"/>
        <v>1691</v>
      </c>
      <c r="S5" s="145">
        <f t="shared" si="5"/>
        <v>7512</v>
      </c>
      <c r="T5" s="137">
        <f t="shared" ref="T5:T42" si="6">(Q5*10)+(R5*3)+S5</f>
        <v>29355</v>
      </c>
      <c r="U5" s="235">
        <f t="shared" ref="U5:U42" si="7">T5/$T$43</f>
        <v>2.4901217958397025E-2</v>
      </c>
    </row>
    <row r="6" spans="1:21">
      <c r="A6" s="144" t="s">
        <v>35</v>
      </c>
      <c r="B6" s="143">
        <v>57</v>
      </c>
      <c r="C6" s="143">
        <v>27</v>
      </c>
      <c r="D6" s="143">
        <v>4</v>
      </c>
      <c r="E6" s="143">
        <v>886</v>
      </c>
      <c r="F6" s="143">
        <v>144</v>
      </c>
      <c r="G6" s="249">
        <f t="shared" si="0"/>
        <v>1118</v>
      </c>
      <c r="H6" s="142">
        <v>1768</v>
      </c>
      <c r="I6" s="143">
        <v>2</v>
      </c>
      <c r="J6" s="143">
        <v>6</v>
      </c>
      <c r="K6" s="249">
        <f t="shared" si="1"/>
        <v>1776</v>
      </c>
      <c r="L6" s="143">
        <v>0</v>
      </c>
      <c r="M6" s="143">
        <v>581</v>
      </c>
      <c r="N6" s="143">
        <v>0</v>
      </c>
      <c r="O6" s="238">
        <f t="shared" si="2"/>
        <v>581</v>
      </c>
      <c r="P6" s="254">
        <v>3475</v>
      </c>
      <c r="Q6" s="137">
        <f t="shared" si="3"/>
        <v>61</v>
      </c>
      <c r="R6" s="137">
        <f t="shared" si="4"/>
        <v>1057</v>
      </c>
      <c r="S6" s="145">
        <f t="shared" si="5"/>
        <v>2357</v>
      </c>
      <c r="T6" s="137">
        <f t="shared" si="6"/>
        <v>6138</v>
      </c>
      <c r="U6" s="235">
        <f t="shared" si="7"/>
        <v>5.2067339747450501E-3</v>
      </c>
    </row>
    <row r="7" spans="1:21">
      <c r="A7" s="144" t="s">
        <v>36</v>
      </c>
      <c r="B7" s="143">
        <v>132</v>
      </c>
      <c r="C7" s="143">
        <v>28</v>
      </c>
      <c r="D7" s="143">
        <v>38</v>
      </c>
      <c r="E7" s="142">
        <v>5839</v>
      </c>
      <c r="F7" s="142">
        <v>1051</v>
      </c>
      <c r="G7" s="249">
        <f t="shared" si="0"/>
        <v>7088</v>
      </c>
      <c r="H7" s="142">
        <v>11174</v>
      </c>
      <c r="I7" s="143">
        <v>17</v>
      </c>
      <c r="J7" s="143">
        <v>83</v>
      </c>
      <c r="K7" s="249">
        <f t="shared" si="1"/>
        <v>11274</v>
      </c>
      <c r="L7" s="143">
        <v>292</v>
      </c>
      <c r="M7" s="143">
        <v>136</v>
      </c>
      <c r="N7" s="143">
        <v>106</v>
      </c>
      <c r="O7" s="238">
        <f t="shared" si="2"/>
        <v>534</v>
      </c>
      <c r="P7" s="254">
        <v>18895</v>
      </c>
      <c r="Q7" s="137">
        <f t="shared" si="3"/>
        <v>170</v>
      </c>
      <c r="R7" s="137">
        <f t="shared" si="4"/>
        <v>6918</v>
      </c>
      <c r="S7" s="145">
        <f t="shared" si="5"/>
        <v>11808</v>
      </c>
      <c r="T7" s="137">
        <f t="shared" si="6"/>
        <v>34262</v>
      </c>
      <c r="U7" s="235">
        <f t="shared" si="7"/>
        <v>2.9063720990992976E-2</v>
      </c>
    </row>
    <row r="8" spans="1:21">
      <c r="A8" s="144" t="s">
        <v>57</v>
      </c>
      <c r="B8" s="143">
        <v>124</v>
      </c>
      <c r="C8" s="143">
        <v>8</v>
      </c>
      <c r="D8" s="143">
        <v>24</v>
      </c>
      <c r="E8" s="143">
        <v>112</v>
      </c>
      <c r="F8" s="143">
        <v>199</v>
      </c>
      <c r="G8" s="249">
        <f t="shared" si="0"/>
        <v>467</v>
      </c>
      <c r="H8" s="142">
        <v>2153</v>
      </c>
      <c r="I8" s="143">
        <v>22</v>
      </c>
      <c r="J8" s="143">
        <v>17</v>
      </c>
      <c r="K8" s="249">
        <f t="shared" si="1"/>
        <v>2192</v>
      </c>
      <c r="L8" s="143">
        <v>245</v>
      </c>
      <c r="M8" s="143">
        <v>15</v>
      </c>
      <c r="N8" s="143">
        <v>12</v>
      </c>
      <c r="O8" s="238">
        <f t="shared" si="2"/>
        <v>272</v>
      </c>
      <c r="P8" s="254">
        <v>2931</v>
      </c>
      <c r="Q8" s="137">
        <f t="shared" si="3"/>
        <v>148</v>
      </c>
      <c r="R8" s="137">
        <f t="shared" si="4"/>
        <v>319</v>
      </c>
      <c r="S8" s="145">
        <f t="shared" si="5"/>
        <v>2464</v>
      </c>
      <c r="T8" s="137">
        <f t="shared" si="6"/>
        <v>4901</v>
      </c>
      <c r="U8" s="235">
        <f t="shared" si="7"/>
        <v>4.1574133610663882E-3</v>
      </c>
    </row>
    <row r="9" spans="1:21">
      <c r="A9" s="144" t="s">
        <v>14</v>
      </c>
      <c r="B9" s="143">
        <v>219</v>
      </c>
      <c r="C9" s="143">
        <v>33</v>
      </c>
      <c r="D9" s="143">
        <v>20</v>
      </c>
      <c r="E9" s="142">
        <v>2053</v>
      </c>
      <c r="F9" s="143">
        <v>886</v>
      </c>
      <c r="G9" s="249">
        <f t="shared" si="0"/>
        <v>3211</v>
      </c>
      <c r="H9" s="142">
        <v>13885</v>
      </c>
      <c r="I9" s="143">
        <v>897</v>
      </c>
      <c r="J9" s="143">
        <v>286</v>
      </c>
      <c r="K9" s="249">
        <f t="shared" si="1"/>
        <v>15068</v>
      </c>
      <c r="L9" s="143">
        <v>54</v>
      </c>
      <c r="M9" s="143">
        <v>302</v>
      </c>
      <c r="N9" s="143">
        <v>21</v>
      </c>
      <c r="O9" s="238">
        <f t="shared" si="2"/>
        <v>377</v>
      </c>
      <c r="P9" s="254">
        <v>18656</v>
      </c>
      <c r="Q9" s="137">
        <f t="shared" si="3"/>
        <v>239</v>
      </c>
      <c r="R9" s="137">
        <f t="shared" si="4"/>
        <v>2972</v>
      </c>
      <c r="S9" s="145">
        <f t="shared" si="5"/>
        <v>15445</v>
      </c>
      <c r="T9" s="137">
        <f t="shared" si="6"/>
        <v>26751</v>
      </c>
      <c r="U9" s="235">
        <f t="shared" si="7"/>
        <v>2.2692300514565791E-2</v>
      </c>
    </row>
    <row r="10" spans="1:21">
      <c r="A10" s="144" t="s">
        <v>44</v>
      </c>
      <c r="B10" s="143">
        <v>825</v>
      </c>
      <c r="C10" s="143">
        <v>0</v>
      </c>
      <c r="D10" s="143">
        <v>138</v>
      </c>
      <c r="E10" s="142">
        <v>2044</v>
      </c>
      <c r="F10" s="142">
        <v>1013</v>
      </c>
      <c r="G10" s="249">
        <f t="shared" si="0"/>
        <v>4020</v>
      </c>
      <c r="H10" s="142">
        <v>21163</v>
      </c>
      <c r="I10" s="143">
        <v>224</v>
      </c>
      <c r="J10" s="143">
        <v>46</v>
      </c>
      <c r="K10" s="249">
        <f t="shared" si="1"/>
        <v>21433</v>
      </c>
      <c r="L10" s="143">
        <v>126</v>
      </c>
      <c r="M10" s="143">
        <v>512</v>
      </c>
      <c r="N10" s="143">
        <v>27</v>
      </c>
      <c r="O10" s="238">
        <f t="shared" si="2"/>
        <v>665</v>
      </c>
      <c r="P10" s="254">
        <v>26118</v>
      </c>
      <c r="Q10" s="137">
        <f t="shared" si="3"/>
        <v>963</v>
      </c>
      <c r="R10" s="137">
        <f t="shared" si="4"/>
        <v>3057</v>
      </c>
      <c r="S10" s="145">
        <f t="shared" si="5"/>
        <v>22098</v>
      </c>
      <c r="T10" s="137">
        <f t="shared" si="6"/>
        <v>40899</v>
      </c>
      <c r="U10" s="235">
        <f t="shared" si="7"/>
        <v>3.4693745981280187E-2</v>
      </c>
    </row>
    <row r="11" spans="1:21">
      <c r="A11" s="144" t="s">
        <v>63</v>
      </c>
      <c r="B11" s="143">
        <v>588</v>
      </c>
      <c r="C11" s="143">
        <v>0</v>
      </c>
      <c r="D11" s="143">
        <v>53</v>
      </c>
      <c r="E11" s="142">
        <v>2142</v>
      </c>
      <c r="F11" s="142">
        <v>1025</v>
      </c>
      <c r="G11" s="249">
        <f t="shared" si="0"/>
        <v>3808</v>
      </c>
      <c r="H11" s="142">
        <v>17157</v>
      </c>
      <c r="I11" s="143">
        <v>18</v>
      </c>
      <c r="J11" s="143">
        <v>80</v>
      </c>
      <c r="K11" s="249">
        <f t="shared" si="1"/>
        <v>17255</v>
      </c>
      <c r="L11" s="143">
        <v>0</v>
      </c>
      <c r="M11" s="143">
        <v>164</v>
      </c>
      <c r="N11" s="143">
        <v>64</v>
      </c>
      <c r="O11" s="238">
        <f t="shared" si="2"/>
        <v>228</v>
      </c>
      <c r="P11" s="254">
        <v>21291</v>
      </c>
      <c r="Q11" s="137">
        <f t="shared" si="3"/>
        <v>641</v>
      </c>
      <c r="R11" s="137">
        <f t="shared" si="4"/>
        <v>3167</v>
      </c>
      <c r="S11" s="145">
        <f t="shared" si="5"/>
        <v>17483</v>
      </c>
      <c r="T11" s="137">
        <f t="shared" si="6"/>
        <v>33394</v>
      </c>
      <c r="U11" s="235">
        <f t="shared" si="7"/>
        <v>2.8327415176382566E-2</v>
      </c>
    </row>
    <row r="12" spans="1:21">
      <c r="A12" s="144" t="s">
        <v>45</v>
      </c>
      <c r="B12" s="143">
        <v>258</v>
      </c>
      <c r="C12" s="143">
        <v>77</v>
      </c>
      <c r="D12" s="143">
        <v>74</v>
      </c>
      <c r="E12" s="142">
        <v>1017</v>
      </c>
      <c r="F12" s="142">
        <v>1201</v>
      </c>
      <c r="G12" s="249">
        <f t="shared" si="0"/>
        <v>2627</v>
      </c>
      <c r="H12" s="142">
        <v>12554</v>
      </c>
      <c r="I12" s="143">
        <v>30</v>
      </c>
      <c r="J12" s="143">
        <v>61</v>
      </c>
      <c r="K12" s="249">
        <f t="shared" si="1"/>
        <v>12645</v>
      </c>
      <c r="L12" s="143">
        <v>37</v>
      </c>
      <c r="M12" s="143">
        <v>6</v>
      </c>
      <c r="N12" s="143">
        <v>52</v>
      </c>
      <c r="O12" s="238">
        <f t="shared" si="2"/>
        <v>95</v>
      </c>
      <c r="P12" s="254">
        <v>15367</v>
      </c>
      <c r="Q12" s="137">
        <f t="shared" si="3"/>
        <v>332</v>
      </c>
      <c r="R12" s="137">
        <f t="shared" si="4"/>
        <v>2295</v>
      </c>
      <c r="S12" s="145">
        <f t="shared" si="5"/>
        <v>12740</v>
      </c>
      <c r="T12" s="137">
        <f t="shared" si="6"/>
        <v>22945</v>
      </c>
      <c r="U12" s="235">
        <f t="shared" si="7"/>
        <v>1.9463752207645027E-2</v>
      </c>
    </row>
    <row r="13" spans="1:21">
      <c r="A13" s="144" t="s">
        <v>74</v>
      </c>
      <c r="B13" s="143">
        <v>506</v>
      </c>
      <c r="C13" s="143">
        <v>27</v>
      </c>
      <c r="D13" s="143">
        <v>73</v>
      </c>
      <c r="E13" s="143">
        <v>932</v>
      </c>
      <c r="F13" s="143">
        <v>345</v>
      </c>
      <c r="G13" s="249">
        <f t="shared" si="0"/>
        <v>1883</v>
      </c>
      <c r="H13" s="142">
        <v>8323</v>
      </c>
      <c r="I13" s="143">
        <v>0</v>
      </c>
      <c r="J13" s="143">
        <v>122</v>
      </c>
      <c r="K13" s="249">
        <f t="shared" si="1"/>
        <v>8445</v>
      </c>
      <c r="L13" s="143">
        <v>0</v>
      </c>
      <c r="M13" s="143">
        <v>59</v>
      </c>
      <c r="N13" s="143">
        <v>42</v>
      </c>
      <c r="O13" s="238">
        <f t="shared" si="2"/>
        <v>101</v>
      </c>
      <c r="P13" s="254">
        <v>10430</v>
      </c>
      <c r="Q13" s="137">
        <f t="shared" si="3"/>
        <v>579</v>
      </c>
      <c r="R13" s="137">
        <f t="shared" si="4"/>
        <v>1304</v>
      </c>
      <c r="S13" s="145">
        <f t="shared" si="5"/>
        <v>8546</v>
      </c>
      <c r="T13" s="137">
        <f t="shared" si="6"/>
        <v>18248</v>
      </c>
      <c r="U13" s="235">
        <f t="shared" si="7"/>
        <v>1.547938767858385E-2</v>
      </c>
    </row>
    <row r="14" spans="1:21">
      <c r="A14" s="144" t="s">
        <v>37</v>
      </c>
      <c r="B14" s="143">
        <v>809</v>
      </c>
      <c r="C14" s="143">
        <v>19</v>
      </c>
      <c r="D14" s="143">
        <v>87</v>
      </c>
      <c r="E14" s="142">
        <v>2632</v>
      </c>
      <c r="F14" s="143">
        <v>455</v>
      </c>
      <c r="G14" s="249">
        <f t="shared" si="0"/>
        <v>4002</v>
      </c>
      <c r="H14" s="142">
        <v>20441</v>
      </c>
      <c r="I14" s="143">
        <v>0</v>
      </c>
      <c r="J14" s="143">
        <v>5</v>
      </c>
      <c r="K14" s="249">
        <f t="shared" si="1"/>
        <v>20446</v>
      </c>
      <c r="L14" s="143">
        <v>0</v>
      </c>
      <c r="M14" s="143">
        <v>517</v>
      </c>
      <c r="N14" s="143">
        <v>28</v>
      </c>
      <c r="O14" s="238">
        <f t="shared" si="2"/>
        <v>545</v>
      </c>
      <c r="P14" s="254">
        <v>24992</v>
      </c>
      <c r="Q14" s="137">
        <f t="shared" si="3"/>
        <v>896</v>
      </c>
      <c r="R14" s="137">
        <f t="shared" si="4"/>
        <v>3106</v>
      </c>
      <c r="S14" s="145">
        <f t="shared" si="5"/>
        <v>20991</v>
      </c>
      <c r="T14" s="137">
        <f t="shared" si="6"/>
        <v>39269</v>
      </c>
      <c r="U14" s="235">
        <f t="shared" si="7"/>
        <v>3.3311051882415017E-2</v>
      </c>
    </row>
    <row r="15" spans="1:21">
      <c r="A15" s="144" t="s">
        <v>38</v>
      </c>
      <c r="B15" s="143">
        <v>411</v>
      </c>
      <c r="C15" s="143">
        <v>25</v>
      </c>
      <c r="D15" s="143">
        <v>81</v>
      </c>
      <c r="E15" s="143">
        <v>848</v>
      </c>
      <c r="F15" s="143">
        <v>289</v>
      </c>
      <c r="G15" s="249">
        <f t="shared" si="0"/>
        <v>1654</v>
      </c>
      <c r="H15" s="142">
        <v>8701</v>
      </c>
      <c r="I15" s="143">
        <v>0</v>
      </c>
      <c r="J15" s="143">
        <v>37</v>
      </c>
      <c r="K15" s="249">
        <f t="shared" si="1"/>
        <v>8738</v>
      </c>
      <c r="L15" s="143">
        <v>56</v>
      </c>
      <c r="M15" s="143">
        <v>244</v>
      </c>
      <c r="N15" s="143">
        <v>0</v>
      </c>
      <c r="O15" s="238">
        <f t="shared" si="2"/>
        <v>300</v>
      </c>
      <c r="P15" s="254">
        <v>10691</v>
      </c>
      <c r="Q15" s="137">
        <f t="shared" si="3"/>
        <v>492</v>
      </c>
      <c r="R15" s="137">
        <f t="shared" si="4"/>
        <v>1162</v>
      </c>
      <c r="S15" s="145">
        <f t="shared" si="5"/>
        <v>9038</v>
      </c>
      <c r="T15" s="137">
        <f t="shared" si="6"/>
        <v>17444</v>
      </c>
      <c r="U15" s="235">
        <f t="shared" si="7"/>
        <v>1.4797371693622132E-2</v>
      </c>
    </row>
    <row r="16" spans="1:21">
      <c r="A16" s="144" t="s">
        <v>26</v>
      </c>
      <c r="B16" s="143">
        <v>699</v>
      </c>
      <c r="C16" s="143">
        <v>10</v>
      </c>
      <c r="D16" s="143">
        <v>134</v>
      </c>
      <c r="E16" s="142">
        <v>1706</v>
      </c>
      <c r="F16" s="142">
        <v>1499</v>
      </c>
      <c r="G16" s="249">
        <f t="shared" si="0"/>
        <v>4048</v>
      </c>
      <c r="H16" s="142">
        <v>15977</v>
      </c>
      <c r="I16" s="143">
        <v>0</v>
      </c>
      <c r="J16" s="143">
        <v>25</v>
      </c>
      <c r="K16" s="249">
        <f t="shared" si="1"/>
        <v>16002</v>
      </c>
      <c r="L16" s="143">
        <v>12</v>
      </c>
      <c r="M16" s="143">
        <v>69</v>
      </c>
      <c r="N16" s="143">
        <v>161</v>
      </c>
      <c r="O16" s="238">
        <f t="shared" si="2"/>
        <v>242</v>
      </c>
      <c r="P16" s="254">
        <v>20293</v>
      </c>
      <c r="Q16" s="137">
        <f t="shared" si="3"/>
        <v>833</v>
      </c>
      <c r="R16" s="137">
        <f t="shared" si="4"/>
        <v>3215</v>
      </c>
      <c r="S16" s="145">
        <f t="shared" si="5"/>
        <v>16244</v>
      </c>
      <c r="T16" s="137">
        <f t="shared" si="6"/>
        <v>34219</v>
      </c>
      <c r="U16" s="235">
        <f t="shared" si="7"/>
        <v>2.9027245011697761E-2</v>
      </c>
    </row>
    <row r="17" spans="1:21">
      <c r="A17" s="144" t="s">
        <v>15</v>
      </c>
      <c r="B17" s="143">
        <v>777</v>
      </c>
      <c r="C17" s="143">
        <v>0</v>
      </c>
      <c r="D17" s="143">
        <v>163</v>
      </c>
      <c r="E17" s="142">
        <v>3181</v>
      </c>
      <c r="F17" s="142">
        <v>1008</v>
      </c>
      <c r="G17" s="249">
        <f t="shared" si="0"/>
        <v>5129</v>
      </c>
      <c r="H17" s="142">
        <v>13763</v>
      </c>
      <c r="I17" s="143">
        <v>0</v>
      </c>
      <c r="J17" s="143">
        <v>101</v>
      </c>
      <c r="K17" s="249">
        <f t="shared" si="1"/>
        <v>13864</v>
      </c>
      <c r="L17" s="143">
        <v>0</v>
      </c>
      <c r="M17" s="143">
        <v>873</v>
      </c>
      <c r="N17" s="143">
        <v>25</v>
      </c>
      <c r="O17" s="238">
        <f t="shared" si="2"/>
        <v>898</v>
      </c>
      <c r="P17" s="254">
        <v>19891</v>
      </c>
      <c r="Q17" s="137">
        <f t="shared" si="3"/>
        <v>940</v>
      </c>
      <c r="R17" s="137">
        <f t="shared" si="4"/>
        <v>4189</v>
      </c>
      <c r="S17" s="145">
        <f t="shared" si="5"/>
        <v>14762</v>
      </c>
      <c r="T17" s="137">
        <f t="shared" si="6"/>
        <v>36729</v>
      </c>
      <c r="U17" s="235">
        <f t="shared" si="7"/>
        <v>3.1156424268232476E-2</v>
      </c>
    </row>
    <row r="18" spans="1:21">
      <c r="A18" s="144" t="s">
        <v>28</v>
      </c>
      <c r="B18" s="142">
        <v>1735</v>
      </c>
      <c r="C18" s="143">
        <v>0</v>
      </c>
      <c r="D18" s="143">
        <v>418</v>
      </c>
      <c r="E18" s="142">
        <v>4856</v>
      </c>
      <c r="F18" s="142">
        <v>1756</v>
      </c>
      <c r="G18" s="249">
        <f t="shared" si="0"/>
        <v>8765</v>
      </c>
      <c r="H18" s="142">
        <v>30772</v>
      </c>
      <c r="I18" s="143">
        <v>24</v>
      </c>
      <c r="J18" s="143">
        <v>438</v>
      </c>
      <c r="K18" s="249">
        <f t="shared" si="1"/>
        <v>31234</v>
      </c>
      <c r="L18" s="143">
        <v>0</v>
      </c>
      <c r="M18" s="143">
        <v>336</v>
      </c>
      <c r="N18" s="143">
        <v>95</v>
      </c>
      <c r="O18" s="238">
        <f t="shared" si="2"/>
        <v>431</v>
      </c>
      <c r="P18" s="254">
        <v>40429</v>
      </c>
      <c r="Q18" s="137">
        <f t="shared" si="3"/>
        <v>2153</v>
      </c>
      <c r="R18" s="137">
        <f t="shared" si="4"/>
        <v>6612</v>
      </c>
      <c r="S18" s="145">
        <f t="shared" si="5"/>
        <v>31665</v>
      </c>
      <c r="T18" s="137">
        <f t="shared" si="6"/>
        <v>73031</v>
      </c>
      <c r="U18" s="235">
        <f t="shared" si="7"/>
        <v>6.1950633579277575E-2</v>
      </c>
    </row>
    <row r="19" spans="1:21">
      <c r="A19" s="144" t="s">
        <v>46</v>
      </c>
      <c r="B19" s="143">
        <v>516</v>
      </c>
      <c r="C19" s="143">
        <v>7</v>
      </c>
      <c r="D19" s="143">
        <v>70</v>
      </c>
      <c r="E19" s="143">
        <v>282</v>
      </c>
      <c r="F19" s="143">
        <v>416</v>
      </c>
      <c r="G19" s="249">
        <f t="shared" si="0"/>
        <v>1291</v>
      </c>
      <c r="H19" s="142">
        <v>7924</v>
      </c>
      <c r="I19" s="143">
        <v>0</v>
      </c>
      <c r="J19" s="143">
        <v>0</v>
      </c>
      <c r="K19" s="249">
        <f t="shared" si="1"/>
        <v>7924</v>
      </c>
      <c r="L19" s="143">
        <v>60</v>
      </c>
      <c r="M19" s="143">
        <v>21</v>
      </c>
      <c r="N19" s="143">
        <v>125</v>
      </c>
      <c r="O19" s="238">
        <f t="shared" si="2"/>
        <v>206</v>
      </c>
      <c r="P19" s="254">
        <v>9421</v>
      </c>
      <c r="Q19" s="137">
        <f t="shared" si="3"/>
        <v>586</v>
      </c>
      <c r="R19" s="137">
        <f t="shared" si="4"/>
        <v>705</v>
      </c>
      <c r="S19" s="145">
        <f t="shared" si="5"/>
        <v>8130</v>
      </c>
      <c r="T19" s="137">
        <f t="shared" si="6"/>
        <v>16105</v>
      </c>
      <c r="U19" s="235">
        <f t="shared" si="7"/>
        <v>1.3661526663940864E-2</v>
      </c>
    </row>
    <row r="20" spans="1:21">
      <c r="A20" s="144" t="s">
        <v>39</v>
      </c>
      <c r="B20" s="143">
        <v>716</v>
      </c>
      <c r="C20" s="143">
        <v>7</v>
      </c>
      <c r="D20" s="143">
        <v>199</v>
      </c>
      <c r="E20" s="142">
        <v>1763</v>
      </c>
      <c r="F20" s="142">
        <v>1080</v>
      </c>
      <c r="G20" s="249">
        <f t="shared" si="0"/>
        <v>3765</v>
      </c>
      <c r="H20" s="142">
        <v>23229</v>
      </c>
      <c r="I20" s="143">
        <v>14</v>
      </c>
      <c r="J20" s="143">
        <v>380</v>
      </c>
      <c r="K20" s="249">
        <f t="shared" si="1"/>
        <v>23623</v>
      </c>
      <c r="L20" s="143">
        <v>0</v>
      </c>
      <c r="M20" s="143">
        <v>177</v>
      </c>
      <c r="N20" s="143">
        <v>67</v>
      </c>
      <c r="O20" s="238">
        <f t="shared" si="2"/>
        <v>244</v>
      </c>
      <c r="P20" s="254">
        <v>27632</v>
      </c>
      <c r="Q20" s="137">
        <f t="shared" si="3"/>
        <v>915</v>
      </c>
      <c r="R20" s="137">
        <f t="shared" si="4"/>
        <v>2850</v>
      </c>
      <c r="S20" s="145">
        <f t="shared" si="5"/>
        <v>23867</v>
      </c>
      <c r="T20" s="137">
        <f t="shared" si="6"/>
        <v>41567</v>
      </c>
      <c r="U20" s="235">
        <f t="shared" si="7"/>
        <v>3.5260396078238429E-2</v>
      </c>
    </row>
    <row r="21" spans="1:21">
      <c r="A21" s="144" t="s">
        <v>29</v>
      </c>
      <c r="B21" s="143">
        <v>756</v>
      </c>
      <c r="C21" s="143">
        <v>8</v>
      </c>
      <c r="D21" s="143">
        <v>368</v>
      </c>
      <c r="E21" s="142">
        <v>3161</v>
      </c>
      <c r="F21" s="142">
        <v>1098</v>
      </c>
      <c r="G21" s="249">
        <f t="shared" si="0"/>
        <v>5391</v>
      </c>
      <c r="H21" s="142">
        <v>22592</v>
      </c>
      <c r="I21" s="143">
        <v>4</v>
      </c>
      <c r="J21" s="143">
        <v>0</v>
      </c>
      <c r="K21" s="249">
        <f t="shared" si="1"/>
        <v>22596</v>
      </c>
      <c r="L21" s="143">
        <v>0</v>
      </c>
      <c r="M21" s="143">
        <v>120</v>
      </c>
      <c r="N21" s="143">
        <v>20</v>
      </c>
      <c r="O21" s="238">
        <f t="shared" si="2"/>
        <v>140</v>
      </c>
      <c r="P21" s="254">
        <v>28128</v>
      </c>
      <c r="Q21" s="137">
        <f t="shared" si="3"/>
        <v>1124</v>
      </c>
      <c r="R21" s="137">
        <f t="shared" si="4"/>
        <v>4267</v>
      </c>
      <c r="S21" s="145">
        <f t="shared" si="5"/>
        <v>22736</v>
      </c>
      <c r="T21" s="137">
        <f t="shared" si="6"/>
        <v>46777</v>
      </c>
      <c r="U21" s="235">
        <f t="shared" si="7"/>
        <v>3.9679927523077418E-2</v>
      </c>
    </row>
    <row r="22" spans="1:21">
      <c r="A22" s="144" t="s">
        <v>16</v>
      </c>
      <c r="B22" s="143">
        <v>293</v>
      </c>
      <c r="C22" s="143">
        <v>0</v>
      </c>
      <c r="D22" s="143">
        <v>38</v>
      </c>
      <c r="E22" s="143">
        <v>621</v>
      </c>
      <c r="F22" s="143">
        <v>275</v>
      </c>
      <c r="G22" s="249">
        <f t="shared" si="0"/>
        <v>1227</v>
      </c>
      <c r="H22" s="142">
        <v>6112</v>
      </c>
      <c r="I22" s="143">
        <v>230</v>
      </c>
      <c r="J22" s="143">
        <v>0</v>
      </c>
      <c r="K22" s="249">
        <f t="shared" si="1"/>
        <v>6342</v>
      </c>
      <c r="L22" s="143">
        <v>5</v>
      </c>
      <c r="M22" s="143">
        <v>66</v>
      </c>
      <c r="N22" s="143">
        <v>95</v>
      </c>
      <c r="O22" s="238">
        <f t="shared" si="2"/>
        <v>166</v>
      </c>
      <c r="P22" s="254">
        <v>7735</v>
      </c>
      <c r="Q22" s="137">
        <f t="shared" si="3"/>
        <v>331</v>
      </c>
      <c r="R22" s="137">
        <f t="shared" si="4"/>
        <v>896</v>
      </c>
      <c r="S22" s="145">
        <f t="shared" si="5"/>
        <v>6508</v>
      </c>
      <c r="T22" s="137">
        <f t="shared" si="6"/>
        <v>12506</v>
      </c>
      <c r="U22" s="235">
        <f t="shared" si="7"/>
        <v>1.0608572024790094E-2</v>
      </c>
    </row>
    <row r="23" spans="1:21">
      <c r="A23" s="144" t="s">
        <v>30</v>
      </c>
      <c r="B23" s="143">
        <v>403</v>
      </c>
      <c r="C23" s="143">
        <v>0</v>
      </c>
      <c r="D23" s="143">
        <v>54</v>
      </c>
      <c r="E23" s="142">
        <v>1391</v>
      </c>
      <c r="F23" s="143">
        <v>607</v>
      </c>
      <c r="G23" s="249">
        <f t="shared" si="0"/>
        <v>2455</v>
      </c>
      <c r="H23" s="142">
        <v>8049</v>
      </c>
      <c r="I23" s="143">
        <v>0</v>
      </c>
      <c r="J23" s="143">
        <v>0</v>
      </c>
      <c r="K23" s="249">
        <f t="shared" si="1"/>
        <v>8049</v>
      </c>
      <c r="L23" s="143">
        <v>0</v>
      </c>
      <c r="M23" s="143">
        <v>144</v>
      </c>
      <c r="N23" s="143">
        <v>7</v>
      </c>
      <c r="O23" s="238">
        <f t="shared" si="2"/>
        <v>151</v>
      </c>
      <c r="P23" s="254">
        <v>10654</v>
      </c>
      <c r="Q23" s="137">
        <f t="shared" si="3"/>
        <v>457</v>
      </c>
      <c r="R23" s="137">
        <f t="shared" si="4"/>
        <v>1998</v>
      </c>
      <c r="S23" s="145">
        <f t="shared" si="5"/>
        <v>8200</v>
      </c>
      <c r="T23" s="137">
        <f t="shared" si="6"/>
        <v>18764</v>
      </c>
      <c r="U23" s="235">
        <f t="shared" si="7"/>
        <v>1.5917099430126445E-2</v>
      </c>
    </row>
    <row r="24" spans="1:21">
      <c r="A24" s="144" t="s">
        <v>75</v>
      </c>
      <c r="B24" s="142">
        <v>1134</v>
      </c>
      <c r="C24" s="143">
        <v>34</v>
      </c>
      <c r="D24" s="143">
        <v>136</v>
      </c>
      <c r="E24" s="142">
        <v>1264</v>
      </c>
      <c r="F24" s="143">
        <v>590</v>
      </c>
      <c r="G24" s="249">
        <f t="shared" si="0"/>
        <v>3158</v>
      </c>
      <c r="H24" s="142">
        <v>11326</v>
      </c>
      <c r="I24" s="143">
        <v>0</v>
      </c>
      <c r="J24" s="143">
        <v>151</v>
      </c>
      <c r="K24" s="249">
        <f t="shared" si="1"/>
        <v>11477</v>
      </c>
      <c r="L24" s="143">
        <v>25</v>
      </c>
      <c r="M24" s="143">
        <v>227</v>
      </c>
      <c r="N24" s="143">
        <v>67</v>
      </c>
      <c r="O24" s="238">
        <f t="shared" si="2"/>
        <v>319</v>
      </c>
      <c r="P24" s="254">
        <v>14955</v>
      </c>
      <c r="Q24" s="137">
        <f t="shared" si="3"/>
        <v>1270</v>
      </c>
      <c r="R24" s="137">
        <f t="shared" si="4"/>
        <v>1888</v>
      </c>
      <c r="S24" s="145">
        <f t="shared" si="5"/>
        <v>11796</v>
      </c>
      <c r="T24" s="137">
        <f t="shared" si="6"/>
        <v>30160</v>
      </c>
      <c r="U24" s="235">
        <f t="shared" si="7"/>
        <v>2.5584082221947003E-2</v>
      </c>
    </row>
    <row r="25" spans="1:21">
      <c r="A25" s="144" t="s">
        <v>32</v>
      </c>
      <c r="B25" s="143">
        <v>116</v>
      </c>
      <c r="C25" s="143">
        <v>0</v>
      </c>
      <c r="D25" s="143">
        <v>25</v>
      </c>
      <c r="E25" s="142">
        <v>2924</v>
      </c>
      <c r="F25" s="143">
        <v>295</v>
      </c>
      <c r="G25" s="249">
        <f t="shared" si="0"/>
        <v>3360</v>
      </c>
      <c r="H25" s="142">
        <v>4139</v>
      </c>
      <c r="I25" s="143">
        <v>0</v>
      </c>
      <c r="J25" s="143">
        <v>0</v>
      </c>
      <c r="K25" s="249">
        <f t="shared" si="1"/>
        <v>4139</v>
      </c>
      <c r="L25" s="143">
        <v>10</v>
      </c>
      <c r="M25" s="143">
        <v>58</v>
      </c>
      <c r="N25" s="143">
        <v>2</v>
      </c>
      <c r="O25" s="238">
        <f t="shared" si="2"/>
        <v>70</v>
      </c>
      <c r="P25" s="254">
        <v>7567</v>
      </c>
      <c r="Q25" s="137">
        <f t="shared" si="3"/>
        <v>141</v>
      </c>
      <c r="R25" s="137">
        <f t="shared" si="4"/>
        <v>3219</v>
      </c>
      <c r="S25" s="145">
        <f t="shared" si="5"/>
        <v>4209</v>
      </c>
      <c r="T25" s="137">
        <f t="shared" si="6"/>
        <v>15276</v>
      </c>
      <c r="U25" s="235">
        <f t="shared" si="7"/>
        <v>1.2958303714272626E-2</v>
      </c>
    </row>
    <row r="26" spans="1:21">
      <c r="A26" s="144" t="s">
        <v>60</v>
      </c>
      <c r="B26" s="143">
        <v>141</v>
      </c>
      <c r="C26" s="143">
        <v>2</v>
      </c>
      <c r="D26" s="143">
        <v>40</v>
      </c>
      <c r="E26" s="142">
        <v>1093</v>
      </c>
      <c r="F26" s="143">
        <v>520</v>
      </c>
      <c r="G26" s="249">
        <f t="shared" si="0"/>
        <v>1796</v>
      </c>
      <c r="H26" s="142">
        <v>6581</v>
      </c>
      <c r="I26" s="143">
        <v>0</v>
      </c>
      <c r="J26" s="143">
        <v>9</v>
      </c>
      <c r="K26" s="249">
        <f t="shared" si="1"/>
        <v>6590</v>
      </c>
      <c r="L26" s="143">
        <v>8</v>
      </c>
      <c r="M26" s="143">
        <v>121</v>
      </c>
      <c r="N26" s="143">
        <v>11</v>
      </c>
      <c r="O26" s="238">
        <f t="shared" si="2"/>
        <v>140</v>
      </c>
      <c r="P26" s="254">
        <v>8526</v>
      </c>
      <c r="Q26" s="137">
        <f t="shared" si="3"/>
        <v>181</v>
      </c>
      <c r="R26" s="137">
        <f t="shared" si="4"/>
        <v>1615</v>
      </c>
      <c r="S26" s="145">
        <f t="shared" si="5"/>
        <v>6730</v>
      </c>
      <c r="T26" s="137">
        <f t="shared" si="6"/>
        <v>13385</v>
      </c>
      <c r="U26" s="235">
        <f t="shared" si="7"/>
        <v>1.1354208903871375E-2</v>
      </c>
    </row>
    <row r="27" spans="1:21">
      <c r="A27" s="144" t="s">
        <v>76</v>
      </c>
      <c r="B27" s="142">
        <v>2533</v>
      </c>
      <c r="C27" s="143">
        <v>132</v>
      </c>
      <c r="D27" s="143">
        <v>625</v>
      </c>
      <c r="E27" s="142">
        <v>2974</v>
      </c>
      <c r="F27" s="142">
        <v>2145</v>
      </c>
      <c r="G27" s="249">
        <f t="shared" si="0"/>
        <v>8409</v>
      </c>
      <c r="H27" s="142">
        <v>24762</v>
      </c>
      <c r="I27" s="143">
        <v>0</v>
      </c>
      <c r="J27" s="143">
        <v>466</v>
      </c>
      <c r="K27" s="249">
        <f t="shared" si="1"/>
        <v>25228</v>
      </c>
      <c r="L27" s="143">
        <v>0</v>
      </c>
      <c r="M27" s="143">
        <v>0</v>
      </c>
      <c r="N27" s="143">
        <v>75</v>
      </c>
      <c r="O27" s="238">
        <f t="shared" si="2"/>
        <v>75</v>
      </c>
      <c r="P27" s="254">
        <v>33713</v>
      </c>
      <c r="Q27" s="137">
        <f t="shared" si="3"/>
        <v>3158</v>
      </c>
      <c r="R27" s="137">
        <f t="shared" si="4"/>
        <v>5251</v>
      </c>
      <c r="S27" s="145">
        <f t="shared" si="5"/>
        <v>25303</v>
      </c>
      <c r="T27" s="137">
        <f t="shared" si="6"/>
        <v>72636</v>
      </c>
      <c r="U27" s="235">
        <f t="shared" si="7"/>
        <v>6.1615563536914539E-2</v>
      </c>
    </row>
    <row r="28" spans="1:21">
      <c r="A28" s="144" t="s">
        <v>77</v>
      </c>
      <c r="B28" s="143">
        <v>366</v>
      </c>
      <c r="C28" s="143">
        <v>7</v>
      </c>
      <c r="D28" s="143">
        <v>88</v>
      </c>
      <c r="E28" s="143">
        <v>937</v>
      </c>
      <c r="F28" s="143">
        <v>725</v>
      </c>
      <c r="G28" s="249">
        <f t="shared" si="0"/>
        <v>2123</v>
      </c>
      <c r="H28" s="142">
        <v>7381</v>
      </c>
      <c r="I28" s="143">
        <v>0</v>
      </c>
      <c r="J28" s="143">
        <v>124</v>
      </c>
      <c r="K28" s="249">
        <f t="shared" si="1"/>
        <v>7505</v>
      </c>
      <c r="L28" s="143">
        <v>16</v>
      </c>
      <c r="M28" s="143">
        <v>42</v>
      </c>
      <c r="N28" s="143">
        <v>86</v>
      </c>
      <c r="O28" s="238">
        <f t="shared" si="2"/>
        <v>144</v>
      </c>
      <c r="P28" s="254">
        <v>9772</v>
      </c>
      <c r="Q28" s="137">
        <f t="shared" si="3"/>
        <v>454</v>
      </c>
      <c r="R28" s="137">
        <f t="shared" si="4"/>
        <v>1669</v>
      </c>
      <c r="S28" s="145">
        <f t="shared" si="5"/>
        <v>7649</v>
      </c>
      <c r="T28" s="137">
        <f t="shared" si="6"/>
        <v>17196</v>
      </c>
      <c r="U28" s="235">
        <f t="shared" si="7"/>
        <v>1.4586998603733444E-2</v>
      </c>
    </row>
    <row r="29" spans="1:21">
      <c r="A29" s="225" t="s">
        <v>78</v>
      </c>
      <c r="B29" s="243">
        <f>1852+B47</f>
        <v>1940</v>
      </c>
      <c r="C29" s="244">
        <f>0+C47</f>
        <v>5</v>
      </c>
      <c r="D29" s="244">
        <f>396+D47</f>
        <v>418</v>
      </c>
      <c r="E29" s="243">
        <f>3669+E47</f>
        <v>3844</v>
      </c>
      <c r="F29" s="244">
        <f>852+F47</f>
        <v>930</v>
      </c>
      <c r="G29" s="250">
        <f t="shared" si="0"/>
        <v>7137</v>
      </c>
      <c r="H29" s="243">
        <f>19573+H47</f>
        <v>20526</v>
      </c>
      <c r="I29" s="244">
        <v>0</v>
      </c>
      <c r="J29" s="244">
        <v>3</v>
      </c>
      <c r="K29" s="250">
        <f t="shared" si="1"/>
        <v>20529</v>
      </c>
      <c r="L29" s="244">
        <v>0</v>
      </c>
      <c r="M29" s="244">
        <f>644+M47</f>
        <v>654</v>
      </c>
      <c r="N29" s="244">
        <v>64</v>
      </c>
      <c r="O29" s="253">
        <f t="shared" si="2"/>
        <v>718</v>
      </c>
      <c r="P29" s="255">
        <f>27051+P47</f>
        <v>28382</v>
      </c>
      <c r="Q29" s="137">
        <f t="shared" si="3"/>
        <v>2358</v>
      </c>
      <c r="R29" s="137">
        <f t="shared" si="4"/>
        <v>4779</v>
      </c>
      <c r="S29" s="145">
        <f t="shared" si="5"/>
        <v>21247</v>
      </c>
      <c r="T29" s="137">
        <f t="shared" si="6"/>
        <v>59164</v>
      </c>
      <c r="U29" s="235">
        <f t="shared" si="7"/>
        <v>5.0187554395864475E-2</v>
      </c>
    </row>
    <row r="30" spans="1:21">
      <c r="A30" s="144" t="s">
        <v>79</v>
      </c>
      <c r="B30" s="143">
        <v>582</v>
      </c>
      <c r="C30" s="143">
        <v>304</v>
      </c>
      <c r="D30" s="143">
        <v>222</v>
      </c>
      <c r="E30" s="142">
        <v>1201</v>
      </c>
      <c r="F30" s="143">
        <v>664</v>
      </c>
      <c r="G30" s="249">
        <f t="shared" si="0"/>
        <v>2973</v>
      </c>
      <c r="H30" s="142">
        <v>13530</v>
      </c>
      <c r="I30" s="143">
        <v>0</v>
      </c>
      <c r="J30" s="143">
        <v>0</v>
      </c>
      <c r="K30" s="249">
        <f t="shared" si="1"/>
        <v>13530</v>
      </c>
      <c r="L30" s="143">
        <v>880</v>
      </c>
      <c r="M30" s="143">
        <v>207</v>
      </c>
      <c r="N30" s="143">
        <v>17</v>
      </c>
      <c r="O30" s="238">
        <f t="shared" si="2"/>
        <v>1104</v>
      </c>
      <c r="P30" s="254">
        <v>17605</v>
      </c>
      <c r="Q30" s="137">
        <f t="shared" si="3"/>
        <v>804</v>
      </c>
      <c r="R30" s="137">
        <f t="shared" si="4"/>
        <v>2169</v>
      </c>
      <c r="S30" s="145">
        <f t="shared" si="5"/>
        <v>14634</v>
      </c>
      <c r="T30" s="137">
        <f t="shared" si="6"/>
        <v>29181</v>
      </c>
      <c r="U30" s="235">
        <f t="shared" si="7"/>
        <v>2.4753617484039637E-2</v>
      </c>
    </row>
    <row r="31" spans="1:21">
      <c r="A31" s="144" t="s">
        <v>80</v>
      </c>
      <c r="B31" s="143">
        <v>22</v>
      </c>
      <c r="C31" s="143">
        <v>0</v>
      </c>
      <c r="D31" s="143">
        <v>8</v>
      </c>
      <c r="E31" s="143">
        <v>235</v>
      </c>
      <c r="F31" s="143">
        <v>110</v>
      </c>
      <c r="G31" s="249">
        <f t="shared" si="0"/>
        <v>375</v>
      </c>
      <c r="H31" s="142">
        <v>2861</v>
      </c>
      <c r="I31" s="143">
        <v>0</v>
      </c>
      <c r="J31" s="143">
        <v>101</v>
      </c>
      <c r="K31" s="249">
        <f t="shared" si="1"/>
        <v>2962</v>
      </c>
      <c r="L31" s="143">
        <v>32</v>
      </c>
      <c r="M31" s="143">
        <v>137</v>
      </c>
      <c r="N31" s="143">
        <v>0</v>
      </c>
      <c r="O31" s="238">
        <f t="shared" si="2"/>
        <v>169</v>
      </c>
      <c r="P31" s="254">
        <v>3505</v>
      </c>
      <c r="Q31" s="137">
        <f t="shared" si="3"/>
        <v>30</v>
      </c>
      <c r="R31" s="137">
        <f t="shared" si="4"/>
        <v>345</v>
      </c>
      <c r="S31" s="145">
        <f t="shared" si="5"/>
        <v>3131</v>
      </c>
      <c r="T31" s="137">
        <f t="shared" si="6"/>
        <v>4466</v>
      </c>
      <c r="U31" s="235">
        <f t="shared" si="7"/>
        <v>3.7884121751729214E-3</v>
      </c>
    </row>
    <row r="32" spans="1:21">
      <c r="A32" s="144" t="s">
        <v>81</v>
      </c>
      <c r="B32" s="142">
        <v>2387</v>
      </c>
      <c r="C32" s="143">
        <v>55</v>
      </c>
      <c r="D32" s="143">
        <v>351</v>
      </c>
      <c r="E32" s="142">
        <v>2766</v>
      </c>
      <c r="F32" s="143">
        <v>520</v>
      </c>
      <c r="G32" s="249">
        <f t="shared" si="0"/>
        <v>6079</v>
      </c>
      <c r="H32" s="142">
        <v>22268</v>
      </c>
      <c r="I32" s="143">
        <v>0</v>
      </c>
      <c r="J32" s="143">
        <v>165</v>
      </c>
      <c r="K32" s="249">
        <f t="shared" si="1"/>
        <v>22433</v>
      </c>
      <c r="L32" s="143">
        <v>0</v>
      </c>
      <c r="M32" s="143">
        <v>381</v>
      </c>
      <c r="N32" s="143">
        <v>62</v>
      </c>
      <c r="O32" s="238">
        <f t="shared" si="2"/>
        <v>443</v>
      </c>
      <c r="P32" s="254">
        <v>28955</v>
      </c>
      <c r="Q32" s="137">
        <f t="shared" si="3"/>
        <v>2738</v>
      </c>
      <c r="R32" s="137">
        <f t="shared" si="4"/>
        <v>3341</v>
      </c>
      <c r="S32" s="145">
        <f t="shared" si="5"/>
        <v>22876</v>
      </c>
      <c r="T32" s="137">
        <f t="shared" si="6"/>
        <v>60279</v>
      </c>
      <c r="U32" s="235">
        <f t="shared" si="7"/>
        <v>5.1133385021775314E-2</v>
      </c>
    </row>
    <row r="33" spans="1:21">
      <c r="A33" s="144" t="s">
        <v>52</v>
      </c>
      <c r="B33" s="143">
        <v>638</v>
      </c>
      <c r="C33" s="143">
        <v>256</v>
      </c>
      <c r="D33" s="143">
        <v>61</v>
      </c>
      <c r="E33" s="142">
        <v>2702</v>
      </c>
      <c r="F33" s="143">
        <v>756</v>
      </c>
      <c r="G33" s="249">
        <f t="shared" si="0"/>
        <v>4413</v>
      </c>
      <c r="H33" s="142">
        <v>16453</v>
      </c>
      <c r="I33" s="143">
        <v>53</v>
      </c>
      <c r="J33" s="143">
        <v>230</v>
      </c>
      <c r="K33" s="249">
        <f t="shared" si="1"/>
        <v>16736</v>
      </c>
      <c r="L33" s="143">
        <v>55</v>
      </c>
      <c r="M33" s="143">
        <v>121</v>
      </c>
      <c r="N33" s="143">
        <v>53</v>
      </c>
      <c r="O33" s="238">
        <f t="shared" si="2"/>
        <v>229</v>
      </c>
      <c r="P33" s="254">
        <v>21378</v>
      </c>
      <c r="Q33" s="137">
        <f t="shared" si="3"/>
        <v>699</v>
      </c>
      <c r="R33" s="137">
        <f t="shared" si="4"/>
        <v>3714</v>
      </c>
      <c r="S33" s="145">
        <f t="shared" si="5"/>
        <v>16965</v>
      </c>
      <c r="T33" s="137">
        <f t="shared" si="6"/>
        <v>35097</v>
      </c>
      <c r="U33" s="235">
        <f t="shared" si="7"/>
        <v>2.9772033612190781E-2</v>
      </c>
    </row>
    <row r="34" spans="1:21">
      <c r="A34" s="144" t="s">
        <v>41</v>
      </c>
      <c r="B34" s="143">
        <v>108</v>
      </c>
      <c r="C34" s="143">
        <v>16</v>
      </c>
      <c r="D34" s="143">
        <v>24</v>
      </c>
      <c r="E34" s="142">
        <v>2427</v>
      </c>
      <c r="F34" s="143">
        <v>420</v>
      </c>
      <c r="G34" s="249">
        <f t="shared" si="0"/>
        <v>2995</v>
      </c>
      <c r="H34" s="142">
        <v>7837</v>
      </c>
      <c r="I34" s="143">
        <v>199</v>
      </c>
      <c r="J34" s="143">
        <v>222</v>
      </c>
      <c r="K34" s="249">
        <f t="shared" si="1"/>
        <v>8258</v>
      </c>
      <c r="L34" s="143">
        <v>290</v>
      </c>
      <c r="M34" s="143">
        <v>392</v>
      </c>
      <c r="N34" s="143">
        <v>157</v>
      </c>
      <c r="O34" s="238">
        <f t="shared" si="2"/>
        <v>839</v>
      </c>
      <c r="P34" s="254">
        <v>12091</v>
      </c>
      <c r="Q34" s="137">
        <f t="shared" si="3"/>
        <v>132</v>
      </c>
      <c r="R34" s="137">
        <f t="shared" si="4"/>
        <v>2863</v>
      </c>
      <c r="S34" s="145">
        <f t="shared" si="5"/>
        <v>9097</v>
      </c>
      <c r="T34" s="137">
        <f t="shared" si="6"/>
        <v>19006</v>
      </c>
      <c r="U34" s="235">
        <f t="shared" si="7"/>
        <v>1.6122382848485568E-2</v>
      </c>
    </row>
    <row r="35" spans="1:21">
      <c r="A35" s="144" t="s">
        <v>82</v>
      </c>
      <c r="B35" s="142">
        <v>2282</v>
      </c>
      <c r="C35" s="143">
        <v>30</v>
      </c>
      <c r="D35" s="143">
        <v>528</v>
      </c>
      <c r="E35" s="142">
        <v>4157</v>
      </c>
      <c r="F35" s="143">
        <v>992</v>
      </c>
      <c r="G35" s="249">
        <f t="shared" si="0"/>
        <v>7989</v>
      </c>
      <c r="H35" s="142">
        <v>27157</v>
      </c>
      <c r="I35" s="143">
        <v>0</v>
      </c>
      <c r="J35" s="143">
        <v>122</v>
      </c>
      <c r="K35" s="249">
        <f t="shared" si="1"/>
        <v>27279</v>
      </c>
      <c r="L35" s="143">
        <v>21</v>
      </c>
      <c r="M35" s="143">
        <v>383</v>
      </c>
      <c r="N35" s="143">
        <v>353</v>
      </c>
      <c r="O35" s="238">
        <f t="shared" si="2"/>
        <v>757</v>
      </c>
      <c r="P35" s="254">
        <v>36024</v>
      </c>
      <c r="Q35" s="137">
        <f t="shared" si="3"/>
        <v>2810</v>
      </c>
      <c r="R35" s="137">
        <f t="shared" si="4"/>
        <v>5179</v>
      </c>
      <c r="S35" s="145">
        <f t="shared" si="5"/>
        <v>28036</v>
      </c>
      <c r="T35" s="137">
        <f t="shared" si="6"/>
        <v>71673</v>
      </c>
      <c r="U35" s="235">
        <f t="shared" si="7"/>
        <v>6.079867125641935E-2</v>
      </c>
    </row>
    <row r="36" spans="1:21">
      <c r="A36" s="227" t="s">
        <v>54</v>
      </c>
      <c r="B36" s="262">
        <f>661+B48</f>
        <v>674</v>
      </c>
      <c r="C36" s="262">
        <v>0</v>
      </c>
      <c r="D36" s="262">
        <f>114+D48</f>
        <v>118</v>
      </c>
      <c r="E36" s="262">
        <f>287+E48</f>
        <v>298</v>
      </c>
      <c r="F36" s="262">
        <f>279+F48</f>
        <v>304</v>
      </c>
      <c r="G36" s="263">
        <f t="shared" si="0"/>
        <v>1394</v>
      </c>
      <c r="H36" s="264">
        <f>10880+H48</f>
        <v>11205</v>
      </c>
      <c r="I36" s="262">
        <v>4</v>
      </c>
      <c r="J36" s="262">
        <f>82+J48</f>
        <v>439</v>
      </c>
      <c r="K36" s="263">
        <f t="shared" si="1"/>
        <v>11648</v>
      </c>
      <c r="L36" s="262">
        <v>324</v>
      </c>
      <c r="M36" s="262">
        <f>11+M48</f>
        <v>17</v>
      </c>
      <c r="N36" s="262">
        <f>10+N48</f>
        <v>13</v>
      </c>
      <c r="O36" s="265">
        <f t="shared" si="2"/>
        <v>354</v>
      </c>
      <c r="P36" s="266">
        <f>12652+P48</f>
        <v>13395</v>
      </c>
      <c r="Q36" s="137">
        <f t="shared" si="3"/>
        <v>792</v>
      </c>
      <c r="R36" s="137">
        <f t="shared" si="4"/>
        <v>602</v>
      </c>
      <c r="S36" s="145">
        <f t="shared" si="5"/>
        <v>12002</v>
      </c>
      <c r="T36" s="137">
        <f t="shared" si="6"/>
        <v>21728</v>
      </c>
      <c r="U36" s="235">
        <f t="shared" si="7"/>
        <v>1.843139716573158E-2</v>
      </c>
    </row>
    <row r="37" spans="1:21">
      <c r="A37" s="144" t="s">
        <v>21</v>
      </c>
      <c r="B37" s="143">
        <v>760</v>
      </c>
      <c r="C37" s="143">
        <v>0</v>
      </c>
      <c r="D37" s="143">
        <v>169</v>
      </c>
      <c r="E37" s="142">
        <v>4278</v>
      </c>
      <c r="F37" s="142">
        <v>1285</v>
      </c>
      <c r="G37" s="249">
        <f t="shared" si="0"/>
        <v>6492</v>
      </c>
      <c r="H37" s="142">
        <v>15208</v>
      </c>
      <c r="I37" s="143">
        <v>0</v>
      </c>
      <c r="J37" s="143">
        <v>135</v>
      </c>
      <c r="K37" s="249">
        <f t="shared" si="1"/>
        <v>15343</v>
      </c>
      <c r="L37" s="143">
        <v>106</v>
      </c>
      <c r="M37" s="143">
        <v>49</v>
      </c>
      <c r="N37" s="143">
        <v>6</v>
      </c>
      <c r="O37" s="238">
        <f t="shared" si="2"/>
        <v>161</v>
      </c>
      <c r="P37" s="254">
        <v>21997</v>
      </c>
      <c r="Q37" s="137">
        <f t="shared" si="3"/>
        <v>929</v>
      </c>
      <c r="R37" s="137">
        <f t="shared" si="4"/>
        <v>5563</v>
      </c>
      <c r="S37" s="145">
        <f t="shared" si="5"/>
        <v>15504</v>
      </c>
      <c r="T37" s="137">
        <f t="shared" si="6"/>
        <v>41483</v>
      </c>
      <c r="U37" s="235">
        <f t="shared" si="7"/>
        <v>3.5189140676824521E-2</v>
      </c>
    </row>
    <row r="38" spans="1:21">
      <c r="A38" s="144" t="s">
        <v>42</v>
      </c>
      <c r="B38" s="143">
        <v>38</v>
      </c>
      <c r="C38" s="143">
        <v>0</v>
      </c>
      <c r="D38" s="143">
        <v>12</v>
      </c>
      <c r="E38" s="143">
        <v>286</v>
      </c>
      <c r="F38" s="143">
        <v>56</v>
      </c>
      <c r="G38" s="249">
        <f t="shared" si="0"/>
        <v>392</v>
      </c>
      <c r="H38" s="142">
        <v>2595</v>
      </c>
      <c r="I38" s="143">
        <v>0</v>
      </c>
      <c r="J38" s="143">
        <v>0</v>
      </c>
      <c r="K38" s="249">
        <f t="shared" si="1"/>
        <v>2595</v>
      </c>
      <c r="L38" s="143">
        <v>82</v>
      </c>
      <c r="M38" s="143">
        <v>152</v>
      </c>
      <c r="N38" s="143">
        <v>47</v>
      </c>
      <c r="O38" s="238">
        <f t="shared" si="2"/>
        <v>281</v>
      </c>
      <c r="P38" s="254">
        <v>3267</v>
      </c>
      <c r="Q38" s="137">
        <f t="shared" si="3"/>
        <v>50</v>
      </c>
      <c r="R38" s="137">
        <f t="shared" si="4"/>
        <v>342</v>
      </c>
      <c r="S38" s="145">
        <f t="shared" si="5"/>
        <v>2876</v>
      </c>
      <c r="T38" s="137">
        <f t="shared" si="6"/>
        <v>4402</v>
      </c>
      <c r="U38" s="235">
        <f t="shared" si="7"/>
        <v>3.7341223455242276E-3</v>
      </c>
    </row>
    <row r="39" spans="1:21">
      <c r="A39" s="144" t="s">
        <v>83</v>
      </c>
      <c r="B39" s="142">
        <v>1218</v>
      </c>
      <c r="C39" s="143">
        <v>0</v>
      </c>
      <c r="D39" s="143">
        <v>204</v>
      </c>
      <c r="E39" s="143">
        <v>742</v>
      </c>
      <c r="F39" s="143">
        <v>445</v>
      </c>
      <c r="G39" s="249">
        <f t="shared" si="0"/>
        <v>2609</v>
      </c>
      <c r="H39" s="142">
        <v>11321</v>
      </c>
      <c r="I39" s="143">
        <v>0</v>
      </c>
      <c r="J39" s="143">
        <v>19</v>
      </c>
      <c r="K39" s="249">
        <f t="shared" si="1"/>
        <v>11340</v>
      </c>
      <c r="L39" s="143">
        <v>29</v>
      </c>
      <c r="M39" s="143">
        <v>3</v>
      </c>
      <c r="N39" s="143">
        <v>134</v>
      </c>
      <c r="O39" s="238">
        <f t="shared" si="2"/>
        <v>166</v>
      </c>
      <c r="P39" s="254">
        <v>14113</v>
      </c>
      <c r="Q39" s="137">
        <f t="shared" si="3"/>
        <v>1422</v>
      </c>
      <c r="R39" s="137">
        <f t="shared" si="4"/>
        <v>1187</v>
      </c>
      <c r="S39" s="145">
        <f t="shared" si="5"/>
        <v>11506</v>
      </c>
      <c r="T39" s="137">
        <f t="shared" si="6"/>
        <v>29287</v>
      </c>
      <c r="U39" s="235">
        <f t="shared" si="7"/>
        <v>2.4843535014395287E-2</v>
      </c>
    </row>
    <row r="40" spans="1:21">
      <c r="A40" s="144" t="s">
        <v>22</v>
      </c>
      <c r="B40" s="143">
        <v>464</v>
      </c>
      <c r="C40" s="143">
        <v>0</v>
      </c>
      <c r="D40" s="143">
        <v>69</v>
      </c>
      <c r="E40" s="142">
        <v>1860</v>
      </c>
      <c r="F40" s="143">
        <v>654</v>
      </c>
      <c r="G40" s="249">
        <f t="shared" si="0"/>
        <v>3047</v>
      </c>
      <c r="H40" s="142">
        <v>20571</v>
      </c>
      <c r="I40" s="143">
        <v>0</v>
      </c>
      <c r="J40" s="143">
        <v>38</v>
      </c>
      <c r="K40" s="249">
        <f t="shared" si="1"/>
        <v>20609</v>
      </c>
      <c r="L40" s="143">
        <v>50</v>
      </c>
      <c r="M40" s="143">
        <v>317</v>
      </c>
      <c r="N40" s="143">
        <v>11</v>
      </c>
      <c r="O40" s="238">
        <f t="shared" si="2"/>
        <v>378</v>
      </c>
      <c r="P40" s="254">
        <v>24035</v>
      </c>
      <c r="Q40" s="137">
        <f t="shared" si="3"/>
        <v>533</v>
      </c>
      <c r="R40" s="137">
        <f t="shared" si="4"/>
        <v>2514</v>
      </c>
      <c r="S40" s="145">
        <f t="shared" si="5"/>
        <v>20987</v>
      </c>
      <c r="T40" s="137">
        <f t="shared" si="6"/>
        <v>33859</v>
      </c>
      <c r="U40" s="235">
        <f t="shared" si="7"/>
        <v>2.872186471992386E-2</v>
      </c>
    </row>
    <row r="41" spans="1:21">
      <c r="A41" s="144" t="s">
        <v>23</v>
      </c>
      <c r="B41" s="143">
        <v>677</v>
      </c>
      <c r="C41" s="143">
        <v>8</v>
      </c>
      <c r="D41" s="143">
        <v>174</v>
      </c>
      <c r="E41" s="142">
        <v>2588</v>
      </c>
      <c r="F41" s="143">
        <v>592</v>
      </c>
      <c r="G41" s="249">
        <f t="shared" si="0"/>
        <v>4039</v>
      </c>
      <c r="H41" s="142">
        <v>11178</v>
      </c>
      <c r="I41" s="143">
        <v>0</v>
      </c>
      <c r="J41" s="143">
        <v>493</v>
      </c>
      <c r="K41" s="249">
        <f t="shared" si="1"/>
        <v>11671</v>
      </c>
      <c r="L41" s="143">
        <v>192</v>
      </c>
      <c r="M41" s="143">
        <v>372</v>
      </c>
      <c r="N41" s="143">
        <v>18</v>
      </c>
      <c r="O41" s="238">
        <f t="shared" si="2"/>
        <v>582</v>
      </c>
      <c r="P41" s="254">
        <v>16291</v>
      </c>
      <c r="Q41" s="137">
        <f t="shared" si="3"/>
        <v>851</v>
      </c>
      <c r="R41" s="137">
        <f t="shared" si="4"/>
        <v>3188</v>
      </c>
      <c r="S41" s="145">
        <f t="shared" si="5"/>
        <v>12253</v>
      </c>
      <c r="T41" s="137">
        <f t="shared" si="6"/>
        <v>30327</v>
      </c>
      <c r="U41" s="235">
        <f t="shared" si="7"/>
        <v>2.5725744746186562E-2</v>
      </c>
    </row>
    <row r="42" spans="1:21">
      <c r="A42" s="144" t="s">
        <v>33</v>
      </c>
      <c r="B42" s="143">
        <v>356</v>
      </c>
      <c r="C42" s="143">
        <v>24</v>
      </c>
      <c r="D42" s="143">
        <v>33</v>
      </c>
      <c r="E42" s="142">
        <v>1963</v>
      </c>
      <c r="F42" s="143">
        <v>417</v>
      </c>
      <c r="G42" s="249">
        <f t="shared" si="0"/>
        <v>2793</v>
      </c>
      <c r="H42" s="142">
        <v>11603</v>
      </c>
      <c r="I42" s="143">
        <v>0</v>
      </c>
      <c r="J42" s="143">
        <v>0</v>
      </c>
      <c r="K42" s="249">
        <f t="shared" si="1"/>
        <v>11603</v>
      </c>
      <c r="L42" s="143">
        <v>105</v>
      </c>
      <c r="M42" s="143">
        <v>145</v>
      </c>
      <c r="N42" s="143">
        <v>0</v>
      </c>
      <c r="O42" s="238">
        <f t="shared" si="2"/>
        <v>250</v>
      </c>
      <c r="P42" s="254">
        <v>14645</v>
      </c>
      <c r="Q42" s="137">
        <f t="shared" si="3"/>
        <v>389</v>
      </c>
      <c r="R42" s="137">
        <f t="shared" si="4"/>
        <v>2404</v>
      </c>
      <c r="S42" s="145">
        <f t="shared" si="5"/>
        <v>11853</v>
      </c>
      <c r="T42" s="137">
        <f t="shared" si="6"/>
        <v>22955</v>
      </c>
      <c r="U42" s="235">
        <f t="shared" si="7"/>
        <v>1.9472234993527633E-2</v>
      </c>
    </row>
    <row r="43" spans="1:21" s="139" customFormat="1" thickBot="1">
      <c r="A43" s="407" t="s">
        <v>10</v>
      </c>
      <c r="B43" s="259">
        <f>SUM(B4:B42)</f>
        <v>28033</v>
      </c>
      <c r="C43" s="259">
        <f>SUM(C4:C42)</f>
        <v>1168</v>
      </c>
      <c r="D43" s="259">
        <f>SUM(D4:D42)</f>
        <v>5445</v>
      </c>
      <c r="E43" s="259">
        <f>SUM(E4:E42)</f>
        <v>75719</v>
      </c>
      <c r="F43" s="259">
        <f>SUM(F4:F42)</f>
        <v>28057</v>
      </c>
      <c r="G43" s="258">
        <f t="shared" si="0"/>
        <v>138422</v>
      </c>
      <c r="H43" s="259">
        <f>SUM(H4:H42)</f>
        <v>509102</v>
      </c>
      <c r="I43" s="259">
        <f>SUM(I4:I42)</f>
        <v>1769</v>
      </c>
      <c r="J43" s="259">
        <f>SUM(J4:J42)</f>
        <v>4550</v>
      </c>
      <c r="K43" s="294">
        <f t="shared" si="1"/>
        <v>515421</v>
      </c>
      <c r="L43" s="259">
        <f>SUM(L4:L42)</f>
        <v>3112</v>
      </c>
      <c r="M43" s="259">
        <f>SUM(M4:M42)</f>
        <v>8502</v>
      </c>
      <c r="N43" s="259">
        <f>SUM(N4:N42)</f>
        <v>2211</v>
      </c>
      <c r="O43" s="439">
        <f>SUM(L43:N43)</f>
        <v>13825</v>
      </c>
      <c r="P43" s="296">
        <f t="shared" ref="P43:U43" si="8">SUM(P4:P42)</f>
        <v>667654</v>
      </c>
      <c r="Q43" s="259">
        <f t="shared" si="8"/>
        <v>33478</v>
      </c>
      <c r="R43" s="259">
        <f t="shared" si="8"/>
        <v>104944</v>
      </c>
      <c r="S43" s="259">
        <f t="shared" si="8"/>
        <v>529246</v>
      </c>
      <c r="T43" s="259">
        <f t="shared" si="8"/>
        <v>1178858</v>
      </c>
      <c r="U43" s="211">
        <f t="shared" si="8"/>
        <v>1.0000000000000002</v>
      </c>
    </row>
    <row r="44" spans="1:21">
      <c r="A44" s="239" t="s">
        <v>250</v>
      </c>
      <c r="B44" s="145">
        <f>'Tbl 35 2004'!B43</f>
        <v>27272</v>
      </c>
      <c r="C44" s="145">
        <f>'Tbl 35 2004'!C43</f>
        <v>1179</v>
      </c>
      <c r="D44" s="145">
        <f>'Tbl 35 2004'!D43</f>
        <v>5751</v>
      </c>
      <c r="E44" s="145">
        <f>'Tbl 35 2004'!E43</f>
        <v>71440</v>
      </c>
      <c r="F44" s="145">
        <f>'Tbl 35 2004'!F43</f>
        <v>28971</v>
      </c>
      <c r="G44" s="251">
        <f>'Tbl 35 2004'!G43</f>
        <v>134613</v>
      </c>
      <c r="H44" s="145">
        <f>'Tbl 35 2004'!H43</f>
        <v>503598</v>
      </c>
      <c r="I44" s="145">
        <f>'Tbl 35 2004'!I43</f>
        <v>911</v>
      </c>
      <c r="J44" s="145">
        <f>'Tbl 35 2004'!J43</f>
        <v>5483</v>
      </c>
      <c r="K44" s="251">
        <f>'Tbl 35 2004'!K43</f>
        <v>509992</v>
      </c>
      <c r="L44" s="145">
        <f>'Tbl 35 2004'!L43</f>
        <v>2778</v>
      </c>
      <c r="M44" s="145">
        <f>'Tbl 35 2004'!M43</f>
        <v>9136</v>
      </c>
      <c r="N44" s="145">
        <f>'Tbl 35 2004'!N43</f>
        <v>2690</v>
      </c>
      <c r="O44" s="251">
        <f>SUM(L44:N44)</f>
        <v>14604</v>
      </c>
      <c r="P44" s="256">
        <f>'Tbl 35 2004'!O43</f>
        <v>659210</v>
      </c>
      <c r="Q44" s="248">
        <f>'Tbl 35 2004'!P43</f>
        <v>33023</v>
      </c>
      <c r="R44" s="248">
        <f>'Tbl 35 2004'!Q43</f>
        <v>101590</v>
      </c>
      <c r="S44" s="248">
        <f>'Tbl 35 2004'!R43</f>
        <v>524596</v>
      </c>
      <c r="T44" s="248">
        <f>'Tbl 35 2004'!S43</f>
        <v>1159596</v>
      </c>
    </row>
    <row r="45" spans="1:21" s="242" customFormat="1">
      <c r="A45" s="240" t="s">
        <v>249</v>
      </c>
      <c r="B45" s="241">
        <f>(B43-B44)/B44</f>
        <v>2.7904077442065123E-2</v>
      </c>
      <c r="C45" s="241">
        <f t="shared" ref="C45:T45" si="9">(C43-C44)/C44</f>
        <v>-9.3299406276505514E-3</v>
      </c>
      <c r="D45" s="241">
        <f t="shared" si="9"/>
        <v>-5.3208137715179966E-2</v>
      </c>
      <c r="E45" s="241">
        <f t="shared" si="9"/>
        <v>5.9896416573348266E-2</v>
      </c>
      <c r="F45" s="241">
        <f t="shared" si="9"/>
        <v>-3.1548790169479826E-2</v>
      </c>
      <c r="G45" s="252">
        <f t="shared" si="9"/>
        <v>2.829592981361384E-2</v>
      </c>
      <c r="H45" s="241">
        <f t="shared" si="9"/>
        <v>1.0929352380271566E-2</v>
      </c>
      <c r="I45" s="241">
        <f t="shared" si="9"/>
        <v>0.94182217343578489</v>
      </c>
      <c r="J45" s="241">
        <f t="shared" si="9"/>
        <v>-0.17016231989786612</v>
      </c>
      <c r="K45" s="252">
        <f t="shared" si="9"/>
        <v>1.0645265023765079E-2</v>
      </c>
      <c r="L45" s="241">
        <f t="shared" si="9"/>
        <v>0.12023038156947444</v>
      </c>
      <c r="M45" s="241">
        <f t="shared" si="9"/>
        <v>-6.9395796847635721E-2</v>
      </c>
      <c r="N45" s="241">
        <f t="shared" si="9"/>
        <v>-0.17806691449814127</v>
      </c>
      <c r="O45" s="252">
        <f t="shared" si="9"/>
        <v>-5.3341550260202687E-2</v>
      </c>
      <c r="P45" s="257">
        <f t="shared" si="9"/>
        <v>1.2809271704009344E-2</v>
      </c>
      <c r="Q45" s="241">
        <f t="shared" si="9"/>
        <v>1.3778275747206492E-2</v>
      </c>
      <c r="R45" s="241">
        <f t="shared" si="9"/>
        <v>3.3015060537454476E-2</v>
      </c>
      <c r="S45" s="241">
        <f t="shared" si="9"/>
        <v>8.8639638884017418E-3</v>
      </c>
      <c r="T45" s="241">
        <f t="shared" si="9"/>
        <v>1.66109576093743E-2</v>
      </c>
    </row>
    <row r="46" spans="1:21">
      <c r="A46" s="138"/>
    </row>
    <row r="47" spans="1:21" s="141" customFormat="1">
      <c r="A47" s="245" t="s">
        <v>246</v>
      </c>
      <c r="B47" s="246">
        <v>88</v>
      </c>
      <c r="C47" s="246">
        <v>5</v>
      </c>
      <c r="D47" s="246">
        <v>22</v>
      </c>
      <c r="E47" s="246">
        <v>175</v>
      </c>
      <c r="F47" s="246">
        <v>78</v>
      </c>
      <c r="G47" s="247">
        <f>SUM(A47:F47)</f>
        <v>368</v>
      </c>
      <c r="H47" s="246">
        <v>953</v>
      </c>
      <c r="I47" s="246">
        <v>0</v>
      </c>
      <c r="J47" s="246">
        <v>0</v>
      </c>
      <c r="K47" s="247">
        <f>SUM(H47:J47)</f>
        <v>953</v>
      </c>
      <c r="L47" s="246">
        <v>0</v>
      </c>
      <c r="M47" s="246">
        <v>10</v>
      </c>
      <c r="N47" s="246">
        <v>0</v>
      </c>
      <c r="O47" s="246">
        <f>SUM(L47:N47)</f>
        <v>10</v>
      </c>
      <c r="P47" s="247">
        <v>1331</v>
      </c>
    </row>
    <row r="48" spans="1:21" s="141" customFormat="1">
      <c r="A48" s="227" t="s">
        <v>240</v>
      </c>
      <c r="B48" s="262">
        <v>13</v>
      </c>
      <c r="C48" s="262">
        <v>0</v>
      </c>
      <c r="D48" s="262">
        <v>4</v>
      </c>
      <c r="E48" s="262">
        <v>11</v>
      </c>
      <c r="F48" s="262">
        <v>25</v>
      </c>
      <c r="G48" s="267">
        <f>SUM(A48:F48)</f>
        <v>53</v>
      </c>
      <c r="H48" s="262">
        <v>325</v>
      </c>
      <c r="I48" s="262">
        <v>0</v>
      </c>
      <c r="J48" s="262">
        <v>357</v>
      </c>
      <c r="K48" s="267">
        <f>SUM(H48:J48)</f>
        <v>682</v>
      </c>
      <c r="L48" s="262">
        <v>0</v>
      </c>
      <c r="M48" s="262">
        <v>6</v>
      </c>
      <c r="N48" s="262">
        <v>3</v>
      </c>
      <c r="O48" s="268">
        <f>SUM(L48:N48)</f>
        <v>9</v>
      </c>
      <c r="P48" s="262">
        <v>743</v>
      </c>
    </row>
    <row r="49" spans="1:1">
      <c r="A49" s="138"/>
    </row>
    <row r="50" spans="1:1">
      <c r="A50" s="138"/>
    </row>
    <row r="51" spans="1:1">
      <c r="A51" s="138"/>
    </row>
    <row r="52" spans="1:1">
      <c r="A52" s="138"/>
    </row>
    <row r="53" spans="1:1">
      <c r="A53" s="138"/>
    </row>
    <row r="54" spans="1:1">
      <c r="A54" s="138"/>
    </row>
    <row r="55" spans="1:1">
      <c r="A55" s="138"/>
    </row>
    <row r="56" spans="1:1">
      <c r="A56" s="138"/>
    </row>
    <row r="57" spans="1:1">
      <c r="A57" s="138"/>
    </row>
    <row r="58" spans="1:1">
      <c r="A58" s="138"/>
    </row>
    <row r="59" spans="1:1">
      <c r="A59" s="138"/>
    </row>
    <row r="60" spans="1:1">
      <c r="A60" s="138"/>
    </row>
    <row r="61" spans="1:1">
      <c r="A61" s="138"/>
    </row>
  </sheetData>
  <autoFilter ref="A3:T3" xr:uid="{00000000-0009-0000-0000-00000B000000}">
    <sortState xmlns:xlrd2="http://schemas.microsoft.com/office/spreadsheetml/2017/richdata2" ref="A4:V43">
      <sortCondition ref="A3"/>
    </sortState>
  </autoFilter>
  <mergeCells count="1">
    <mergeCell ref="A2:P2"/>
  </mergeCells>
  <hyperlinks>
    <hyperlink ref="A1" location="Index!A1" display="&lt; Back to Index &gt;" xr:uid="{00000000-0004-0000-0B00-000000000000}"/>
    <hyperlink ref="U1" location="'Ave weight 1996-2013'!A1" display="Ave weight 1996-2013" xr:uid="{00000000-0004-0000-0B00-000001000000}"/>
  </hyperlinks>
  <pageMargins left="0.74803149606299213" right="0.74803149606299213" top="0.98425196850393704" bottom="0.98425196850393704" header="0.51181102362204722"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61"/>
  <sheetViews>
    <sheetView zoomScaleNormal="100" workbookViewId="0">
      <pane xSplit="1" ySplit="3" topLeftCell="I4" activePane="bottomRight" state="frozen"/>
      <selection pane="topRight" activeCell="B1" sqref="B1"/>
      <selection pane="bottomLeft" activeCell="A4" sqref="A4"/>
      <selection pane="bottomRight"/>
    </sheetView>
  </sheetViews>
  <sheetFormatPr defaultColWidth="28.140625" defaultRowHeight="11.25"/>
  <cols>
    <col min="1" max="1" width="28.140625" style="274"/>
    <col min="2" max="3" width="8.85546875" style="274" customWidth="1"/>
    <col min="4" max="4" width="9.140625" style="274" customWidth="1"/>
    <col min="5" max="5" width="9.42578125" style="274" customWidth="1"/>
    <col min="6" max="6" width="11.28515625" style="274" customWidth="1"/>
    <col min="7" max="7" width="10.42578125" style="274" customWidth="1"/>
    <col min="8" max="8" width="9.42578125" style="283" customWidth="1"/>
    <col min="9" max="9" width="9.7109375" style="274" customWidth="1"/>
    <col min="10" max="10" width="9.140625" style="274" customWidth="1"/>
    <col min="11" max="12" width="11" style="274" customWidth="1"/>
    <col min="13" max="13" width="10.7109375" style="283" customWidth="1"/>
    <col min="14" max="14" width="7.42578125" style="274" customWidth="1"/>
    <col min="15" max="15" width="8.85546875" style="274" customWidth="1"/>
    <col min="16" max="16" width="9.7109375" style="274" customWidth="1"/>
    <col min="17" max="18" width="8.28515625" style="274" customWidth="1"/>
    <col min="19" max="19" width="10" style="274" bestFit="1" customWidth="1"/>
    <col min="20" max="20" width="9" style="274" bestFit="1" customWidth="1"/>
    <col min="21" max="21" width="7.42578125" style="274" customWidth="1"/>
    <col min="22" max="22" width="9.140625" style="274" customWidth="1"/>
    <col min="23" max="16384" width="28.140625" style="274"/>
  </cols>
  <sheetData>
    <row r="1" spans="1:22" ht="12.75">
      <c r="A1" s="288" t="s">
        <v>286</v>
      </c>
      <c r="B1" s="280"/>
      <c r="C1" s="280"/>
      <c r="D1" s="280"/>
      <c r="E1" s="280"/>
      <c r="F1" s="280"/>
      <c r="G1" s="280"/>
      <c r="H1" s="478"/>
      <c r="I1" s="280"/>
      <c r="J1" s="280"/>
      <c r="K1" s="280"/>
      <c r="L1" s="280"/>
      <c r="M1" s="478"/>
      <c r="N1" s="280"/>
      <c r="O1" s="280"/>
      <c r="P1" s="505"/>
      <c r="V1" s="523" t="s">
        <v>304</v>
      </c>
    </row>
    <row r="2" spans="1:22">
      <c r="A2" s="739" t="s">
        <v>245</v>
      </c>
      <c r="B2" s="739"/>
      <c r="C2" s="739"/>
      <c r="D2" s="739"/>
      <c r="E2" s="739"/>
      <c r="F2" s="739"/>
      <c r="G2" s="739"/>
      <c r="H2" s="739"/>
      <c r="I2" s="739"/>
      <c r="J2" s="739"/>
      <c r="K2" s="739"/>
      <c r="L2" s="739"/>
      <c r="M2" s="739"/>
      <c r="N2" s="739"/>
      <c r="O2" s="739"/>
      <c r="P2" s="739"/>
    </row>
    <row r="3" spans="1:22" s="441" customFormat="1" ht="33" customHeight="1">
      <c r="A3" s="442" t="s">
        <v>94</v>
      </c>
      <c r="B3" s="443" t="s">
        <v>0</v>
      </c>
      <c r="C3" s="443" t="s">
        <v>1</v>
      </c>
      <c r="D3" s="443" t="s">
        <v>2</v>
      </c>
      <c r="E3" s="443" t="s">
        <v>3</v>
      </c>
      <c r="F3" s="443" t="s">
        <v>4</v>
      </c>
      <c r="G3" s="443" t="s">
        <v>95</v>
      </c>
      <c r="H3" s="444" t="s">
        <v>11</v>
      </c>
      <c r="I3" s="443" t="s">
        <v>5</v>
      </c>
      <c r="J3" s="443" t="s">
        <v>6</v>
      </c>
      <c r="K3" s="443" t="s">
        <v>7</v>
      </c>
      <c r="L3" s="443" t="s">
        <v>96</v>
      </c>
      <c r="M3" s="444" t="s">
        <v>12</v>
      </c>
      <c r="N3" s="443" t="s">
        <v>8</v>
      </c>
      <c r="O3" s="443" t="s">
        <v>9</v>
      </c>
      <c r="P3" s="445" t="s">
        <v>10</v>
      </c>
      <c r="Q3" s="446" t="s">
        <v>86</v>
      </c>
      <c r="R3" s="446" t="s">
        <v>87</v>
      </c>
      <c r="S3" s="446" t="s">
        <v>88</v>
      </c>
      <c r="T3" s="446" t="s">
        <v>89</v>
      </c>
      <c r="U3" s="446" t="s">
        <v>90</v>
      </c>
      <c r="V3" s="446" t="s">
        <v>91</v>
      </c>
    </row>
    <row r="4" spans="1:22" ht="11.25" customHeight="1">
      <c r="A4" s="269" t="s">
        <v>62</v>
      </c>
      <c r="B4" s="270">
        <v>148</v>
      </c>
      <c r="C4" s="270">
        <v>6</v>
      </c>
      <c r="D4" s="270">
        <v>37</v>
      </c>
      <c r="E4" s="270">
        <v>733</v>
      </c>
      <c r="F4" s="270">
        <v>852</v>
      </c>
      <c r="G4" s="270">
        <v>5</v>
      </c>
      <c r="H4" s="285">
        <f>SUM(B4:G4)</f>
        <v>1781</v>
      </c>
      <c r="I4" s="271">
        <v>7810</v>
      </c>
      <c r="J4" s="270">
        <v>34</v>
      </c>
      <c r="K4" s="270">
        <v>90</v>
      </c>
      <c r="L4" s="270">
        <v>66</v>
      </c>
      <c r="M4" s="285">
        <f>SUM(I4:L4)</f>
        <v>8000</v>
      </c>
      <c r="N4" s="270">
        <v>0</v>
      </c>
      <c r="O4" s="270">
        <v>253</v>
      </c>
      <c r="P4" s="286">
        <f>H4+M4+N4+O4</f>
        <v>10034</v>
      </c>
      <c r="Q4" s="274">
        <f t="shared" ref="Q4:Q42" si="0">B4+D4</f>
        <v>185</v>
      </c>
      <c r="R4" s="274">
        <f t="shared" ref="R4:R42" si="1">C4+E4+F4+G4</f>
        <v>1596</v>
      </c>
      <c r="S4" s="275">
        <f t="shared" ref="S4:S42" si="2">M4+N4+O4</f>
        <v>8253</v>
      </c>
      <c r="T4" s="274">
        <f>(10*Q4)+(3*R4)+S4</f>
        <v>14891</v>
      </c>
      <c r="U4" s="276">
        <f>T4/($T$43+$T$59)</f>
        <v>1.055896508102349E-2</v>
      </c>
      <c r="V4" s="275">
        <f t="shared" ref="V4:V42" si="3">P4-SUM(Q4:S4)</f>
        <v>0</v>
      </c>
    </row>
    <row r="5" spans="1:22" ht="11.25" customHeight="1">
      <c r="A5" s="269" t="s">
        <v>84</v>
      </c>
      <c r="B5" s="271">
        <v>1591</v>
      </c>
      <c r="C5" s="270">
        <v>9</v>
      </c>
      <c r="D5" s="270">
        <v>67</v>
      </c>
      <c r="E5" s="271">
        <v>1146</v>
      </c>
      <c r="F5" s="270">
        <v>623</v>
      </c>
      <c r="G5" s="270">
        <v>4</v>
      </c>
      <c r="H5" s="285">
        <f t="shared" ref="H5:H42" si="4">SUM(B5:G5)</f>
        <v>3440</v>
      </c>
      <c r="I5" s="271">
        <v>7157</v>
      </c>
      <c r="J5" s="270">
        <v>4</v>
      </c>
      <c r="K5" s="270">
        <v>28</v>
      </c>
      <c r="L5" s="270">
        <v>30</v>
      </c>
      <c r="M5" s="285">
        <f t="shared" ref="M5:M42" si="5">SUM(I5:L5)</f>
        <v>7219</v>
      </c>
      <c r="N5" s="270">
        <v>0</v>
      </c>
      <c r="O5" s="270">
        <v>203</v>
      </c>
      <c r="P5" s="286">
        <f t="shared" ref="P5:P42" si="6">H5+M5+N5+O5</f>
        <v>10862</v>
      </c>
      <c r="Q5" s="274">
        <f t="shared" si="0"/>
        <v>1658</v>
      </c>
      <c r="R5" s="274">
        <f t="shared" si="1"/>
        <v>1782</v>
      </c>
      <c r="S5" s="275">
        <f t="shared" si="2"/>
        <v>7422</v>
      </c>
      <c r="T5" s="274">
        <f t="shared" ref="T5:T41" si="7">(10*Q5)+(3*R5)+S5</f>
        <v>29348</v>
      </c>
      <c r="U5" s="276">
        <f t="shared" ref="U5:U41" si="8">T5/($T$43+$T$59)</f>
        <v>2.0810187844864509E-2</v>
      </c>
      <c r="V5" s="275">
        <f t="shared" si="3"/>
        <v>0</v>
      </c>
    </row>
    <row r="6" spans="1:22" ht="11.25" customHeight="1">
      <c r="A6" s="269" t="s">
        <v>35</v>
      </c>
      <c r="B6" s="270">
        <v>68</v>
      </c>
      <c r="C6" s="270">
        <v>20</v>
      </c>
      <c r="D6" s="270">
        <v>2</v>
      </c>
      <c r="E6" s="270">
        <v>887</v>
      </c>
      <c r="F6" s="270">
        <v>171</v>
      </c>
      <c r="G6" s="270">
        <v>0</v>
      </c>
      <c r="H6" s="285">
        <f t="shared" si="4"/>
        <v>1148</v>
      </c>
      <c r="I6" s="271">
        <v>1977</v>
      </c>
      <c r="J6" s="270">
        <v>7</v>
      </c>
      <c r="K6" s="270">
        <v>2</v>
      </c>
      <c r="L6" s="270">
        <v>0</v>
      </c>
      <c r="M6" s="285">
        <f t="shared" si="5"/>
        <v>1986</v>
      </c>
      <c r="N6" s="270">
        <v>0</v>
      </c>
      <c r="O6" s="270">
        <v>588</v>
      </c>
      <c r="P6" s="286">
        <f t="shared" si="6"/>
        <v>3722</v>
      </c>
      <c r="Q6" s="274">
        <f t="shared" si="0"/>
        <v>70</v>
      </c>
      <c r="R6" s="274">
        <f t="shared" si="1"/>
        <v>1078</v>
      </c>
      <c r="S6" s="275">
        <f t="shared" si="2"/>
        <v>2574</v>
      </c>
      <c r="T6" s="274">
        <f t="shared" si="7"/>
        <v>6508</v>
      </c>
      <c r="U6" s="276">
        <f t="shared" si="8"/>
        <v>4.6147165903767965E-3</v>
      </c>
      <c r="V6" s="275">
        <f t="shared" si="3"/>
        <v>0</v>
      </c>
    </row>
    <row r="7" spans="1:22" ht="11.25" customHeight="1">
      <c r="A7" s="269" t="s">
        <v>36</v>
      </c>
      <c r="B7" s="270">
        <v>142</v>
      </c>
      <c r="C7" s="270">
        <v>18</v>
      </c>
      <c r="D7" s="270">
        <v>42</v>
      </c>
      <c r="E7" s="271">
        <v>6516</v>
      </c>
      <c r="F7" s="270">
        <v>950</v>
      </c>
      <c r="G7" s="270">
        <v>35</v>
      </c>
      <c r="H7" s="285">
        <f t="shared" si="4"/>
        <v>7703</v>
      </c>
      <c r="I7" s="271">
        <v>10146</v>
      </c>
      <c r="J7" s="270">
        <v>29</v>
      </c>
      <c r="K7" s="270">
        <v>97</v>
      </c>
      <c r="L7" s="270">
        <v>55</v>
      </c>
      <c r="M7" s="285">
        <f t="shared" si="5"/>
        <v>10327</v>
      </c>
      <c r="N7" s="270">
        <v>327</v>
      </c>
      <c r="O7" s="270">
        <v>90</v>
      </c>
      <c r="P7" s="286">
        <f t="shared" si="6"/>
        <v>18447</v>
      </c>
      <c r="Q7" s="274">
        <f t="shared" si="0"/>
        <v>184</v>
      </c>
      <c r="R7" s="274">
        <f t="shared" si="1"/>
        <v>7519</v>
      </c>
      <c r="S7" s="275">
        <f t="shared" si="2"/>
        <v>10744</v>
      </c>
      <c r="T7" s="274">
        <f t="shared" si="7"/>
        <v>35141</v>
      </c>
      <c r="U7" s="276">
        <f t="shared" si="8"/>
        <v>2.4917909603938384E-2</v>
      </c>
      <c r="V7" s="275">
        <f t="shared" si="3"/>
        <v>0</v>
      </c>
    </row>
    <row r="8" spans="1:22" ht="11.25" customHeight="1">
      <c r="A8" s="269" t="s">
        <v>57</v>
      </c>
      <c r="B8" s="270">
        <v>124</v>
      </c>
      <c r="C8" s="270">
        <v>8</v>
      </c>
      <c r="D8" s="270">
        <v>19</v>
      </c>
      <c r="E8" s="270">
        <v>142</v>
      </c>
      <c r="F8" s="270">
        <v>200</v>
      </c>
      <c r="G8" s="270">
        <v>2</v>
      </c>
      <c r="H8" s="285">
        <f t="shared" si="4"/>
        <v>495</v>
      </c>
      <c r="I8" s="271">
        <v>2311</v>
      </c>
      <c r="J8" s="270">
        <v>15</v>
      </c>
      <c r="K8" s="270">
        <v>6</v>
      </c>
      <c r="L8" s="270">
        <v>15</v>
      </c>
      <c r="M8" s="285">
        <f t="shared" si="5"/>
        <v>2347</v>
      </c>
      <c r="N8" s="270">
        <v>235</v>
      </c>
      <c r="O8" s="270">
        <v>5</v>
      </c>
      <c r="P8" s="286">
        <f t="shared" si="6"/>
        <v>3082</v>
      </c>
      <c r="Q8" s="274">
        <f t="shared" si="0"/>
        <v>143</v>
      </c>
      <c r="R8" s="274">
        <f t="shared" si="1"/>
        <v>352</v>
      </c>
      <c r="S8" s="275">
        <f t="shared" si="2"/>
        <v>2587</v>
      </c>
      <c r="T8" s="274">
        <f t="shared" si="7"/>
        <v>5073</v>
      </c>
      <c r="U8" s="276">
        <f t="shared" si="8"/>
        <v>3.5971815093702349E-3</v>
      </c>
      <c r="V8" s="275">
        <f t="shared" si="3"/>
        <v>0</v>
      </c>
    </row>
    <row r="9" spans="1:22" ht="11.25" customHeight="1">
      <c r="A9" s="269" t="s">
        <v>14</v>
      </c>
      <c r="B9" s="270">
        <v>243</v>
      </c>
      <c r="C9" s="270">
        <v>35</v>
      </c>
      <c r="D9" s="270">
        <v>18</v>
      </c>
      <c r="E9" s="271">
        <v>1729</v>
      </c>
      <c r="F9" s="270">
        <v>928</v>
      </c>
      <c r="G9" s="270">
        <v>1</v>
      </c>
      <c r="H9" s="285">
        <f t="shared" si="4"/>
        <v>2954</v>
      </c>
      <c r="I9" s="271">
        <v>13492</v>
      </c>
      <c r="J9" s="271">
        <v>2296</v>
      </c>
      <c r="K9" s="270">
        <v>59</v>
      </c>
      <c r="L9" s="270">
        <v>43</v>
      </c>
      <c r="M9" s="285">
        <f t="shared" si="5"/>
        <v>15890</v>
      </c>
      <c r="N9" s="270">
        <v>120</v>
      </c>
      <c r="O9" s="270">
        <v>197</v>
      </c>
      <c r="P9" s="286">
        <f t="shared" si="6"/>
        <v>19161</v>
      </c>
      <c r="Q9" s="274">
        <f t="shared" si="0"/>
        <v>261</v>
      </c>
      <c r="R9" s="274">
        <f t="shared" si="1"/>
        <v>2693</v>
      </c>
      <c r="S9" s="275">
        <f t="shared" si="2"/>
        <v>16207</v>
      </c>
      <c r="T9" s="274">
        <f t="shared" si="7"/>
        <v>26896</v>
      </c>
      <c r="U9" s="276">
        <f t="shared" si="8"/>
        <v>1.9071514661151555E-2</v>
      </c>
      <c r="V9" s="275">
        <f t="shared" si="3"/>
        <v>0</v>
      </c>
    </row>
    <row r="10" spans="1:22" ht="11.25" customHeight="1">
      <c r="A10" s="269" t="s">
        <v>44</v>
      </c>
      <c r="B10" s="270">
        <v>841</v>
      </c>
      <c r="C10" s="270">
        <v>0</v>
      </c>
      <c r="D10" s="270">
        <v>159</v>
      </c>
      <c r="E10" s="271">
        <v>2274</v>
      </c>
      <c r="F10" s="270">
        <v>967</v>
      </c>
      <c r="G10" s="270">
        <v>10</v>
      </c>
      <c r="H10" s="285">
        <f t="shared" si="4"/>
        <v>4251</v>
      </c>
      <c r="I10" s="271">
        <v>22002</v>
      </c>
      <c r="J10" s="270">
        <v>261</v>
      </c>
      <c r="K10" s="270">
        <v>140</v>
      </c>
      <c r="L10" s="270">
        <v>18</v>
      </c>
      <c r="M10" s="285">
        <f t="shared" si="5"/>
        <v>22421</v>
      </c>
      <c r="N10" s="270">
        <v>106</v>
      </c>
      <c r="O10" s="270">
        <v>380</v>
      </c>
      <c r="P10" s="286">
        <f t="shared" si="6"/>
        <v>27158</v>
      </c>
      <c r="Q10" s="274">
        <f t="shared" si="0"/>
        <v>1000</v>
      </c>
      <c r="R10" s="274">
        <f t="shared" si="1"/>
        <v>3251</v>
      </c>
      <c r="S10" s="275">
        <f t="shared" si="2"/>
        <v>22907</v>
      </c>
      <c r="T10" s="274">
        <f t="shared" si="7"/>
        <v>42660</v>
      </c>
      <c r="U10" s="276">
        <f t="shared" si="8"/>
        <v>3.0249509794940708E-2</v>
      </c>
      <c r="V10" s="275">
        <f t="shared" si="3"/>
        <v>0</v>
      </c>
    </row>
    <row r="11" spans="1:22" ht="11.25" customHeight="1">
      <c r="A11" s="269" t="s">
        <v>63</v>
      </c>
      <c r="B11" s="270">
        <v>589</v>
      </c>
      <c r="C11" s="270">
        <v>2</v>
      </c>
      <c r="D11" s="270">
        <v>44</v>
      </c>
      <c r="E11" s="271">
        <v>2002</v>
      </c>
      <c r="F11" s="270">
        <v>955</v>
      </c>
      <c r="G11" s="270">
        <v>12</v>
      </c>
      <c r="H11" s="285">
        <f t="shared" si="4"/>
        <v>3604</v>
      </c>
      <c r="I11" s="271">
        <v>17962</v>
      </c>
      <c r="J11" s="270">
        <v>20</v>
      </c>
      <c r="K11" s="270">
        <v>67</v>
      </c>
      <c r="L11" s="270">
        <v>40</v>
      </c>
      <c r="M11" s="285">
        <f t="shared" si="5"/>
        <v>18089</v>
      </c>
      <c r="N11" s="270">
        <v>0</v>
      </c>
      <c r="O11" s="270">
        <v>203</v>
      </c>
      <c r="P11" s="286">
        <f t="shared" si="6"/>
        <v>21896</v>
      </c>
      <c r="Q11" s="274">
        <f t="shared" si="0"/>
        <v>633</v>
      </c>
      <c r="R11" s="274">
        <f t="shared" si="1"/>
        <v>2971</v>
      </c>
      <c r="S11" s="275">
        <f t="shared" si="2"/>
        <v>18292</v>
      </c>
      <c r="T11" s="274">
        <f t="shared" si="7"/>
        <v>33535</v>
      </c>
      <c r="U11" s="276">
        <f t="shared" si="8"/>
        <v>2.3779121213627206E-2</v>
      </c>
      <c r="V11" s="275">
        <f t="shared" si="3"/>
        <v>0</v>
      </c>
    </row>
    <row r="12" spans="1:22" ht="11.25" customHeight="1">
      <c r="A12" s="269" t="s">
        <v>45</v>
      </c>
      <c r="B12" s="270">
        <v>256</v>
      </c>
      <c r="C12" s="270">
        <v>73</v>
      </c>
      <c r="D12" s="270">
        <v>91</v>
      </c>
      <c r="E12" s="271">
        <v>1243</v>
      </c>
      <c r="F12" s="271">
        <v>1127</v>
      </c>
      <c r="G12" s="270">
        <v>8</v>
      </c>
      <c r="H12" s="285">
        <f t="shared" si="4"/>
        <v>2798</v>
      </c>
      <c r="I12" s="271">
        <v>12157</v>
      </c>
      <c r="J12" s="270">
        <v>27</v>
      </c>
      <c r="K12" s="270">
        <v>67</v>
      </c>
      <c r="L12" s="270">
        <v>55</v>
      </c>
      <c r="M12" s="285">
        <f t="shared" si="5"/>
        <v>12306</v>
      </c>
      <c r="N12" s="270">
        <v>274</v>
      </c>
      <c r="O12" s="270">
        <v>3</v>
      </c>
      <c r="P12" s="286">
        <f t="shared" si="6"/>
        <v>15381</v>
      </c>
      <c r="Q12" s="274">
        <f t="shared" si="0"/>
        <v>347</v>
      </c>
      <c r="R12" s="274">
        <f t="shared" si="1"/>
        <v>2451</v>
      </c>
      <c r="S12" s="275">
        <f t="shared" si="2"/>
        <v>12583</v>
      </c>
      <c r="T12" s="274">
        <f t="shared" si="7"/>
        <v>23406</v>
      </c>
      <c r="U12" s="276">
        <f t="shared" si="8"/>
        <v>1.6596812617449185E-2</v>
      </c>
      <c r="V12" s="275">
        <f t="shared" si="3"/>
        <v>0</v>
      </c>
    </row>
    <row r="13" spans="1:22" ht="11.25" customHeight="1">
      <c r="A13" s="269" t="s">
        <v>74</v>
      </c>
      <c r="B13" s="270">
        <v>496</v>
      </c>
      <c r="C13" s="270">
        <v>29</v>
      </c>
      <c r="D13" s="270">
        <v>61</v>
      </c>
      <c r="E13" s="271">
        <v>1043</v>
      </c>
      <c r="F13" s="270">
        <v>409</v>
      </c>
      <c r="G13" s="270">
        <v>4</v>
      </c>
      <c r="H13" s="285">
        <f t="shared" si="4"/>
        <v>2042</v>
      </c>
      <c r="I13" s="271">
        <v>8552</v>
      </c>
      <c r="J13" s="270">
        <v>0</v>
      </c>
      <c r="K13" s="270">
        <v>211</v>
      </c>
      <c r="L13" s="270">
        <v>118</v>
      </c>
      <c r="M13" s="285">
        <f t="shared" si="5"/>
        <v>8881</v>
      </c>
      <c r="N13" s="270">
        <v>0</v>
      </c>
      <c r="O13" s="270">
        <v>45</v>
      </c>
      <c r="P13" s="286">
        <f t="shared" si="6"/>
        <v>10968</v>
      </c>
      <c r="Q13" s="274">
        <f t="shared" si="0"/>
        <v>557</v>
      </c>
      <c r="R13" s="274">
        <f t="shared" si="1"/>
        <v>1485</v>
      </c>
      <c r="S13" s="275">
        <f t="shared" si="2"/>
        <v>8926</v>
      </c>
      <c r="T13" s="274">
        <f t="shared" si="7"/>
        <v>18951</v>
      </c>
      <c r="U13" s="276">
        <f t="shared" si="8"/>
        <v>1.3437844822407908E-2</v>
      </c>
      <c r="V13" s="275">
        <f t="shared" si="3"/>
        <v>0</v>
      </c>
    </row>
    <row r="14" spans="1:22" ht="11.25" customHeight="1">
      <c r="A14" s="269" t="s">
        <v>37</v>
      </c>
      <c r="B14" s="270">
        <v>845</v>
      </c>
      <c r="C14" s="270">
        <v>21</v>
      </c>
      <c r="D14" s="270">
        <v>81</v>
      </c>
      <c r="E14" s="271">
        <v>2573</v>
      </c>
      <c r="F14" s="270">
        <v>576</v>
      </c>
      <c r="G14" s="270">
        <v>4</v>
      </c>
      <c r="H14" s="285">
        <f t="shared" si="4"/>
        <v>4100</v>
      </c>
      <c r="I14" s="271">
        <v>21080</v>
      </c>
      <c r="J14" s="270">
        <v>0</v>
      </c>
      <c r="K14" s="270">
        <v>9</v>
      </c>
      <c r="L14" s="270">
        <v>18</v>
      </c>
      <c r="M14" s="285">
        <f t="shared" si="5"/>
        <v>21107</v>
      </c>
      <c r="N14" s="270">
        <v>0</v>
      </c>
      <c r="O14" s="270">
        <v>523</v>
      </c>
      <c r="P14" s="286">
        <f t="shared" si="6"/>
        <v>25730</v>
      </c>
      <c r="Q14" s="274">
        <f t="shared" si="0"/>
        <v>926</v>
      </c>
      <c r="R14" s="274">
        <f t="shared" si="1"/>
        <v>3174</v>
      </c>
      <c r="S14" s="275">
        <f t="shared" si="2"/>
        <v>21630</v>
      </c>
      <c r="T14" s="274">
        <f t="shared" si="7"/>
        <v>40412</v>
      </c>
      <c r="U14" s="276">
        <f t="shared" si="8"/>
        <v>2.865548968197712E-2</v>
      </c>
      <c r="V14" s="275">
        <f t="shared" si="3"/>
        <v>0</v>
      </c>
    </row>
    <row r="15" spans="1:22" ht="11.25" customHeight="1">
      <c r="A15" s="269" t="s">
        <v>38</v>
      </c>
      <c r="B15" s="270">
        <v>431</v>
      </c>
      <c r="C15" s="270">
        <v>32</v>
      </c>
      <c r="D15" s="270">
        <v>84</v>
      </c>
      <c r="E15" s="270">
        <v>868</v>
      </c>
      <c r="F15" s="270">
        <v>360</v>
      </c>
      <c r="G15" s="270">
        <v>0</v>
      </c>
      <c r="H15" s="285">
        <f t="shared" si="4"/>
        <v>1775</v>
      </c>
      <c r="I15" s="271">
        <v>8708</v>
      </c>
      <c r="J15" s="270">
        <v>0</v>
      </c>
      <c r="K15" s="270">
        <v>25</v>
      </c>
      <c r="L15" s="270">
        <v>0</v>
      </c>
      <c r="M15" s="285">
        <f t="shared" si="5"/>
        <v>8733</v>
      </c>
      <c r="N15" s="270">
        <v>43</v>
      </c>
      <c r="O15" s="270">
        <v>280</v>
      </c>
      <c r="P15" s="286">
        <f t="shared" si="6"/>
        <v>10831</v>
      </c>
      <c r="Q15" s="274">
        <f t="shared" si="0"/>
        <v>515</v>
      </c>
      <c r="R15" s="274">
        <f t="shared" si="1"/>
        <v>1260</v>
      </c>
      <c r="S15" s="275">
        <f t="shared" si="2"/>
        <v>9056</v>
      </c>
      <c r="T15" s="274">
        <f t="shared" si="7"/>
        <v>17986</v>
      </c>
      <c r="U15" s="276">
        <f t="shared" si="8"/>
        <v>1.2753579071069001E-2</v>
      </c>
      <c r="V15" s="275">
        <f t="shared" si="3"/>
        <v>0</v>
      </c>
    </row>
    <row r="16" spans="1:22" ht="11.25" customHeight="1">
      <c r="A16" s="269" t="s">
        <v>26</v>
      </c>
      <c r="B16" s="270">
        <v>691</v>
      </c>
      <c r="C16" s="270">
        <v>7</v>
      </c>
      <c r="D16" s="270">
        <v>122</v>
      </c>
      <c r="E16" s="271">
        <v>2047</v>
      </c>
      <c r="F16" s="271">
        <v>1537</v>
      </c>
      <c r="G16" s="270">
        <v>8</v>
      </c>
      <c r="H16" s="285">
        <f t="shared" si="4"/>
        <v>4412</v>
      </c>
      <c r="I16" s="271">
        <v>16820</v>
      </c>
      <c r="J16" s="270">
        <v>0</v>
      </c>
      <c r="K16" s="270">
        <v>16</v>
      </c>
      <c r="L16" s="270">
        <v>135</v>
      </c>
      <c r="M16" s="285">
        <f t="shared" si="5"/>
        <v>16971</v>
      </c>
      <c r="N16" s="270">
        <v>4</v>
      </c>
      <c r="O16" s="270">
        <v>51</v>
      </c>
      <c r="P16" s="286">
        <f t="shared" si="6"/>
        <v>21438</v>
      </c>
      <c r="Q16" s="274">
        <f t="shared" si="0"/>
        <v>813</v>
      </c>
      <c r="R16" s="274">
        <f t="shared" si="1"/>
        <v>3599</v>
      </c>
      <c r="S16" s="275">
        <f t="shared" si="2"/>
        <v>17026</v>
      </c>
      <c r="T16" s="274">
        <f t="shared" si="7"/>
        <v>35953</v>
      </c>
      <c r="U16" s="276">
        <f t="shared" si="8"/>
        <v>2.5493685552215269E-2</v>
      </c>
      <c r="V16" s="275">
        <f t="shared" si="3"/>
        <v>0</v>
      </c>
    </row>
    <row r="17" spans="1:22" ht="11.25" customHeight="1">
      <c r="A17" s="269" t="s">
        <v>15</v>
      </c>
      <c r="B17" s="270">
        <v>821</v>
      </c>
      <c r="C17" s="270">
        <v>0</v>
      </c>
      <c r="D17" s="270">
        <v>125</v>
      </c>
      <c r="E17" s="271">
        <v>3567</v>
      </c>
      <c r="F17" s="271">
        <v>1106</v>
      </c>
      <c r="G17" s="270">
        <v>1</v>
      </c>
      <c r="H17" s="285">
        <f t="shared" si="4"/>
        <v>5620</v>
      </c>
      <c r="I17" s="271">
        <v>14240</v>
      </c>
      <c r="J17" s="270">
        <v>0</v>
      </c>
      <c r="K17" s="270">
        <v>58</v>
      </c>
      <c r="L17" s="270">
        <v>20</v>
      </c>
      <c r="M17" s="285">
        <f t="shared" si="5"/>
        <v>14318</v>
      </c>
      <c r="N17" s="270">
        <v>0</v>
      </c>
      <c r="O17" s="270">
        <v>852</v>
      </c>
      <c r="P17" s="286">
        <f t="shared" si="6"/>
        <v>20790</v>
      </c>
      <c r="Q17" s="274">
        <f t="shared" si="0"/>
        <v>946</v>
      </c>
      <c r="R17" s="274">
        <f t="shared" si="1"/>
        <v>4674</v>
      </c>
      <c r="S17" s="275">
        <f t="shared" si="2"/>
        <v>15170</v>
      </c>
      <c r="T17" s="274">
        <f t="shared" si="7"/>
        <v>38652</v>
      </c>
      <c r="U17" s="276">
        <f t="shared" si="8"/>
        <v>2.7407502404923775E-2</v>
      </c>
      <c r="V17" s="275">
        <f t="shared" si="3"/>
        <v>0</v>
      </c>
    </row>
    <row r="18" spans="1:22" ht="11.25" customHeight="1">
      <c r="A18" s="269" t="s">
        <v>28</v>
      </c>
      <c r="B18" s="271">
        <v>1775</v>
      </c>
      <c r="C18" s="270">
        <v>0</v>
      </c>
      <c r="D18" s="270">
        <v>422</v>
      </c>
      <c r="E18" s="271">
        <v>4559</v>
      </c>
      <c r="F18" s="271">
        <v>1762</v>
      </c>
      <c r="G18" s="270">
        <v>12</v>
      </c>
      <c r="H18" s="285">
        <f t="shared" si="4"/>
        <v>8530</v>
      </c>
      <c r="I18" s="271">
        <v>31331</v>
      </c>
      <c r="J18" s="270">
        <v>26</v>
      </c>
      <c r="K18" s="270">
        <v>286</v>
      </c>
      <c r="L18" s="270">
        <v>73</v>
      </c>
      <c r="M18" s="285">
        <f t="shared" si="5"/>
        <v>31716</v>
      </c>
      <c r="N18" s="270">
        <v>0</v>
      </c>
      <c r="O18" s="270">
        <v>330</v>
      </c>
      <c r="P18" s="286">
        <f t="shared" si="6"/>
        <v>40576</v>
      </c>
      <c r="Q18" s="274">
        <f t="shared" si="0"/>
        <v>2197</v>
      </c>
      <c r="R18" s="274">
        <f t="shared" si="1"/>
        <v>6333</v>
      </c>
      <c r="S18" s="275">
        <f t="shared" si="2"/>
        <v>32046</v>
      </c>
      <c r="T18" s="274">
        <f t="shared" si="7"/>
        <v>73015</v>
      </c>
      <c r="U18" s="276">
        <f t="shared" si="8"/>
        <v>5.177374490571017E-2</v>
      </c>
      <c r="V18" s="275">
        <f t="shared" si="3"/>
        <v>0</v>
      </c>
    </row>
    <row r="19" spans="1:22" ht="11.25" customHeight="1">
      <c r="A19" s="269" t="s">
        <v>46</v>
      </c>
      <c r="B19" s="270">
        <v>576</v>
      </c>
      <c r="C19" s="270">
        <v>10</v>
      </c>
      <c r="D19" s="270">
        <v>62</v>
      </c>
      <c r="E19" s="270">
        <v>298</v>
      </c>
      <c r="F19" s="270">
        <v>454</v>
      </c>
      <c r="G19" s="270">
        <v>6</v>
      </c>
      <c r="H19" s="285">
        <f t="shared" si="4"/>
        <v>1406</v>
      </c>
      <c r="I19" s="271">
        <v>8174</v>
      </c>
      <c r="J19" s="270">
        <v>0</v>
      </c>
      <c r="K19" s="270">
        <v>0</v>
      </c>
      <c r="L19" s="270">
        <v>121</v>
      </c>
      <c r="M19" s="285">
        <f t="shared" si="5"/>
        <v>8295</v>
      </c>
      <c r="N19" s="270">
        <v>58</v>
      </c>
      <c r="O19" s="270">
        <v>11</v>
      </c>
      <c r="P19" s="286">
        <f t="shared" si="6"/>
        <v>9770</v>
      </c>
      <c r="Q19" s="274">
        <f t="shared" si="0"/>
        <v>638</v>
      </c>
      <c r="R19" s="274">
        <f t="shared" si="1"/>
        <v>768</v>
      </c>
      <c r="S19" s="275">
        <f t="shared" si="2"/>
        <v>8364</v>
      </c>
      <c r="T19" s="274">
        <f t="shared" si="7"/>
        <v>17048</v>
      </c>
      <c r="U19" s="276">
        <f t="shared" si="8"/>
        <v>1.2088458579093981E-2</v>
      </c>
      <c r="V19" s="275">
        <f t="shared" si="3"/>
        <v>0</v>
      </c>
    </row>
    <row r="20" spans="1:22" ht="11.25" customHeight="1">
      <c r="A20" s="269" t="s">
        <v>39</v>
      </c>
      <c r="B20" s="270">
        <v>780</v>
      </c>
      <c r="C20" s="270">
        <v>13</v>
      </c>
      <c r="D20" s="270">
        <v>231</v>
      </c>
      <c r="E20" s="271">
        <v>1736</v>
      </c>
      <c r="F20" s="271">
        <v>1417</v>
      </c>
      <c r="G20" s="270">
        <v>6</v>
      </c>
      <c r="H20" s="285">
        <f t="shared" si="4"/>
        <v>4183</v>
      </c>
      <c r="I20" s="271">
        <v>22829</v>
      </c>
      <c r="J20" s="270">
        <v>0</v>
      </c>
      <c r="K20" s="270">
        <v>344</v>
      </c>
      <c r="L20" s="270">
        <v>44</v>
      </c>
      <c r="M20" s="285">
        <f t="shared" si="5"/>
        <v>23217</v>
      </c>
      <c r="N20" s="270">
        <v>0</v>
      </c>
      <c r="O20" s="270">
        <v>147</v>
      </c>
      <c r="P20" s="286">
        <f t="shared" si="6"/>
        <v>27547</v>
      </c>
      <c r="Q20" s="274">
        <f t="shared" si="0"/>
        <v>1011</v>
      </c>
      <c r="R20" s="274">
        <f t="shared" si="1"/>
        <v>3172</v>
      </c>
      <c r="S20" s="275">
        <f t="shared" si="2"/>
        <v>23364</v>
      </c>
      <c r="T20" s="274">
        <f t="shared" si="7"/>
        <v>42990</v>
      </c>
      <c r="U20" s="276">
        <f t="shared" si="8"/>
        <v>3.0483507409388211E-2</v>
      </c>
      <c r="V20" s="275">
        <f t="shared" si="3"/>
        <v>0</v>
      </c>
    </row>
    <row r="21" spans="1:22" ht="11.25" customHeight="1">
      <c r="A21" s="269" t="s">
        <v>29</v>
      </c>
      <c r="B21" s="270">
        <v>804</v>
      </c>
      <c r="C21" s="270">
        <v>13</v>
      </c>
      <c r="D21" s="270">
        <v>298</v>
      </c>
      <c r="E21" s="271">
        <v>3274</v>
      </c>
      <c r="F21" s="271">
        <v>1152</v>
      </c>
      <c r="G21" s="270">
        <v>5</v>
      </c>
      <c r="H21" s="285">
        <f t="shared" si="4"/>
        <v>5546</v>
      </c>
      <c r="I21" s="271">
        <v>24425</v>
      </c>
      <c r="J21" s="270">
        <v>50</v>
      </c>
      <c r="K21" s="270">
        <v>175</v>
      </c>
      <c r="L21" s="270">
        <v>17</v>
      </c>
      <c r="M21" s="285">
        <f t="shared" si="5"/>
        <v>24667</v>
      </c>
      <c r="N21" s="270">
        <v>0</v>
      </c>
      <c r="O21" s="270">
        <v>110</v>
      </c>
      <c r="P21" s="286">
        <f t="shared" si="6"/>
        <v>30323</v>
      </c>
      <c r="Q21" s="274">
        <f t="shared" si="0"/>
        <v>1102</v>
      </c>
      <c r="R21" s="274">
        <f t="shared" si="1"/>
        <v>4444</v>
      </c>
      <c r="S21" s="275">
        <f t="shared" si="2"/>
        <v>24777</v>
      </c>
      <c r="T21" s="274">
        <f t="shared" si="7"/>
        <v>49129</v>
      </c>
      <c r="U21" s="276">
        <f t="shared" si="8"/>
        <v>3.4836572121791892E-2</v>
      </c>
      <c r="V21" s="275">
        <f t="shared" si="3"/>
        <v>0</v>
      </c>
    </row>
    <row r="22" spans="1:22" ht="11.25" customHeight="1">
      <c r="A22" s="269" t="s">
        <v>16</v>
      </c>
      <c r="B22" s="270">
        <v>305</v>
      </c>
      <c r="C22" s="270">
        <v>0</v>
      </c>
      <c r="D22" s="270">
        <v>30</v>
      </c>
      <c r="E22" s="270">
        <v>735</v>
      </c>
      <c r="F22" s="270">
        <v>248</v>
      </c>
      <c r="G22" s="270">
        <v>3</v>
      </c>
      <c r="H22" s="285">
        <f t="shared" si="4"/>
        <v>1321</v>
      </c>
      <c r="I22" s="271">
        <v>7134</v>
      </c>
      <c r="J22" s="270">
        <v>207</v>
      </c>
      <c r="K22" s="270">
        <v>0</v>
      </c>
      <c r="L22" s="270">
        <v>112</v>
      </c>
      <c r="M22" s="285">
        <f t="shared" si="5"/>
        <v>7453</v>
      </c>
      <c r="N22" s="270">
        <v>57</v>
      </c>
      <c r="O22" s="270">
        <v>39</v>
      </c>
      <c r="P22" s="286">
        <f t="shared" si="6"/>
        <v>8870</v>
      </c>
      <c r="Q22" s="274">
        <f t="shared" si="0"/>
        <v>335</v>
      </c>
      <c r="R22" s="274">
        <f t="shared" si="1"/>
        <v>986</v>
      </c>
      <c r="S22" s="275">
        <f t="shared" si="2"/>
        <v>7549</v>
      </c>
      <c r="T22" s="274">
        <f t="shared" si="7"/>
        <v>13857</v>
      </c>
      <c r="U22" s="276">
        <f t="shared" si="8"/>
        <v>9.8257725557546506E-3</v>
      </c>
      <c r="V22" s="275">
        <f t="shared" si="3"/>
        <v>0</v>
      </c>
    </row>
    <row r="23" spans="1:22" ht="11.25" customHeight="1">
      <c r="A23" s="269" t="s">
        <v>30</v>
      </c>
      <c r="B23" s="270">
        <v>365</v>
      </c>
      <c r="C23" s="270">
        <v>0</v>
      </c>
      <c r="D23" s="270">
        <v>40</v>
      </c>
      <c r="E23" s="271">
        <v>1669</v>
      </c>
      <c r="F23" s="270">
        <v>583</v>
      </c>
      <c r="G23" s="270">
        <v>2</v>
      </c>
      <c r="H23" s="285">
        <f t="shared" si="4"/>
        <v>2659</v>
      </c>
      <c r="I23" s="271">
        <v>9007</v>
      </c>
      <c r="J23" s="270">
        <v>0</v>
      </c>
      <c r="K23" s="270">
        <v>0</v>
      </c>
      <c r="L23" s="270">
        <v>3</v>
      </c>
      <c r="M23" s="285">
        <f t="shared" si="5"/>
        <v>9010</v>
      </c>
      <c r="N23" s="270">
        <v>0</v>
      </c>
      <c r="O23" s="270">
        <v>121</v>
      </c>
      <c r="P23" s="286">
        <f t="shared" si="6"/>
        <v>11790</v>
      </c>
      <c r="Q23" s="274">
        <f t="shared" si="0"/>
        <v>405</v>
      </c>
      <c r="R23" s="274">
        <f t="shared" si="1"/>
        <v>2254</v>
      </c>
      <c r="S23" s="275">
        <f t="shared" si="2"/>
        <v>9131</v>
      </c>
      <c r="T23" s="274">
        <f t="shared" si="7"/>
        <v>19943</v>
      </c>
      <c r="U23" s="276">
        <f t="shared" si="8"/>
        <v>1.4141255833110702E-2</v>
      </c>
      <c r="V23" s="275">
        <f t="shared" si="3"/>
        <v>0</v>
      </c>
    </row>
    <row r="24" spans="1:22" ht="11.25" customHeight="1">
      <c r="A24" s="269" t="s">
        <v>75</v>
      </c>
      <c r="B24" s="271">
        <v>1197</v>
      </c>
      <c r="C24" s="270">
        <v>19</v>
      </c>
      <c r="D24" s="270">
        <v>123</v>
      </c>
      <c r="E24" s="271">
        <v>1424</v>
      </c>
      <c r="F24" s="270">
        <v>559</v>
      </c>
      <c r="G24" s="270">
        <v>8</v>
      </c>
      <c r="H24" s="285">
        <f t="shared" si="4"/>
        <v>3330</v>
      </c>
      <c r="I24" s="271">
        <v>11416</v>
      </c>
      <c r="J24" s="270">
        <v>0</v>
      </c>
      <c r="K24" s="270">
        <v>109</v>
      </c>
      <c r="L24" s="270">
        <v>74</v>
      </c>
      <c r="M24" s="285">
        <f t="shared" si="5"/>
        <v>11599</v>
      </c>
      <c r="N24" s="270">
        <v>28</v>
      </c>
      <c r="O24" s="270">
        <v>294</v>
      </c>
      <c r="P24" s="286">
        <f t="shared" si="6"/>
        <v>15251</v>
      </c>
      <c r="Q24" s="274">
        <f t="shared" si="0"/>
        <v>1320</v>
      </c>
      <c r="R24" s="274">
        <f t="shared" si="1"/>
        <v>2010</v>
      </c>
      <c r="S24" s="275">
        <f t="shared" si="2"/>
        <v>11921</v>
      </c>
      <c r="T24" s="274">
        <f t="shared" si="7"/>
        <v>31151</v>
      </c>
      <c r="U24" s="276">
        <f t="shared" si="8"/>
        <v>2.2088665720164043E-2</v>
      </c>
      <c r="V24" s="275">
        <f t="shared" si="3"/>
        <v>0</v>
      </c>
    </row>
    <row r="25" spans="1:22" ht="11.25" customHeight="1">
      <c r="A25" s="269" t="s">
        <v>32</v>
      </c>
      <c r="B25" s="270">
        <v>121</v>
      </c>
      <c r="C25" s="270">
        <v>0</v>
      </c>
      <c r="D25" s="270">
        <v>21</v>
      </c>
      <c r="E25" s="271">
        <v>2831</v>
      </c>
      <c r="F25" s="270">
        <v>464</v>
      </c>
      <c r="G25" s="270">
        <v>0</v>
      </c>
      <c r="H25" s="285">
        <f t="shared" si="4"/>
        <v>3437</v>
      </c>
      <c r="I25" s="271">
        <v>4212</v>
      </c>
      <c r="J25" s="270">
        <v>0</v>
      </c>
      <c r="K25" s="270">
        <v>0</v>
      </c>
      <c r="L25" s="270">
        <v>1</v>
      </c>
      <c r="M25" s="285">
        <f t="shared" si="5"/>
        <v>4213</v>
      </c>
      <c r="N25" s="270">
        <v>11</v>
      </c>
      <c r="O25" s="270">
        <v>47</v>
      </c>
      <c r="P25" s="286">
        <f t="shared" si="6"/>
        <v>7708</v>
      </c>
      <c r="Q25" s="274">
        <f t="shared" si="0"/>
        <v>142</v>
      </c>
      <c r="R25" s="274">
        <f t="shared" si="1"/>
        <v>3295</v>
      </c>
      <c r="S25" s="275">
        <f t="shared" si="2"/>
        <v>4271</v>
      </c>
      <c r="T25" s="274">
        <f t="shared" si="7"/>
        <v>15576</v>
      </c>
      <c r="U25" s="276">
        <f t="shared" si="8"/>
        <v>1.1044687401922092E-2</v>
      </c>
      <c r="V25" s="275">
        <f t="shared" si="3"/>
        <v>0</v>
      </c>
    </row>
    <row r="26" spans="1:22" ht="11.25" customHeight="1">
      <c r="A26" s="269" t="s">
        <v>60</v>
      </c>
      <c r="B26" s="270">
        <v>141</v>
      </c>
      <c r="C26" s="270">
        <v>0</v>
      </c>
      <c r="D26" s="270">
        <v>34</v>
      </c>
      <c r="E26" s="271">
        <v>1045</v>
      </c>
      <c r="F26" s="270">
        <v>401</v>
      </c>
      <c r="G26" s="270">
        <v>1</v>
      </c>
      <c r="H26" s="285">
        <f t="shared" si="4"/>
        <v>1622</v>
      </c>
      <c r="I26" s="271">
        <v>5655</v>
      </c>
      <c r="J26" s="270">
        <v>0</v>
      </c>
      <c r="K26" s="270">
        <v>6</v>
      </c>
      <c r="L26" s="270">
        <v>8</v>
      </c>
      <c r="M26" s="285">
        <f t="shared" si="5"/>
        <v>5669</v>
      </c>
      <c r="N26" s="270">
        <v>7</v>
      </c>
      <c r="O26" s="270">
        <v>47</v>
      </c>
      <c r="P26" s="286">
        <f t="shared" si="6"/>
        <v>7345</v>
      </c>
      <c r="Q26" s="274">
        <f t="shared" si="0"/>
        <v>175</v>
      </c>
      <c r="R26" s="274">
        <f t="shared" si="1"/>
        <v>1447</v>
      </c>
      <c r="S26" s="275">
        <f t="shared" si="2"/>
        <v>5723</v>
      </c>
      <c r="T26" s="274">
        <f t="shared" si="7"/>
        <v>11814</v>
      </c>
      <c r="U26" s="276">
        <f t="shared" si="8"/>
        <v>8.3771145972205696E-3</v>
      </c>
      <c r="V26" s="275">
        <f t="shared" si="3"/>
        <v>0</v>
      </c>
    </row>
    <row r="27" spans="1:22" ht="11.25" customHeight="1">
      <c r="A27" s="269" t="s">
        <v>76</v>
      </c>
      <c r="B27" s="271">
        <v>2537</v>
      </c>
      <c r="C27" s="270">
        <v>117</v>
      </c>
      <c r="D27" s="270">
        <v>580</v>
      </c>
      <c r="E27" s="271">
        <v>3349</v>
      </c>
      <c r="F27" s="271">
        <v>2082</v>
      </c>
      <c r="G27" s="270">
        <v>14</v>
      </c>
      <c r="H27" s="285">
        <f t="shared" si="4"/>
        <v>8679</v>
      </c>
      <c r="I27" s="271">
        <v>24551</v>
      </c>
      <c r="J27" s="270">
        <v>0</v>
      </c>
      <c r="K27" s="270">
        <v>396</v>
      </c>
      <c r="L27" s="270">
        <v>63</v>
      </c>
      <c r="M27" s="285">
        <f t="shared" si="5"/>
        <v>25010</v>
      </c>
      <c r="N27" s="270">
        <v>0</v>
      </c>
      <c r="O27" s="270">
        <v>259</v>
      </c>
      <c r="P27" s="286">
        <f t="shared" si="6"/>
        <v>33948</v>
      </c>
      <c r="Q27" s="274">
        <f t="shared" si="0"/>
        <v>3117</v>
      </c>
      <c r="R27" s="274">
        <f t="shared" si="1"/>
        <v>5562</v>
      </c>
      <c r="S27" s="275">
        <f t="shared" si="2"/>
        <v>25269</v>
      </c>
      <c r="T27" s="274">
        <f t="shared" si="7"/>
        <v>73125</v>
      </c>
      <c r="U27" s="276">
        <f t="shared" si="8"/>
        <v>5.1851744110526003E-2</v>
      </c>
      <c r="V27" s="275">
        <f t="shared" si="3"/>
        <v>0</v>
      </c>
    </row>
    <row r="28" spans="1:22" ht="11.25" customHeight="1">
      <c r="A28" s="269" t="s">
        <v>77</v>
      </c>
      <c r="B28" s="270">
        <v>348</v>
      </c>
      <c r="C28" s="270">
        <v>7</v>
      </c>
      <c r="D28" s="270">
        <v>82</v>
      </c>
      <c r="E28" s="270">
        <v>748</v>
      </c>
      <c r="F28" s="270">
        <v>858</v>
      </c>
      <c r="G28" s="270">
        <v>1</v>
      </c>
      <c r="H28" s="285">
        <f t="shared" si="4"/>
        <v>2044</v>
      </c>
      <c r="I28" s="271">
        <v>6861</v>
      </c>
      <c r="J28" s="270">
        <v>0</v>
      </c>
      <c r="K28" s="270">
        <v>124</v>
      </c>
      <c r="L28" s="270">
        <v>81</v>
      </c>
      <c r="M28" s="285">
        <f t="shared" si="5"/>
        <v>7066</v>
      </c>
      <c r="N28" s="270">
        <v>28</v>
      </c>
      <c r="O28" s="270">
        <v>36</v>
      </c>
      <c r="P28" s="286">
        <f t="shared" si="6"/>
        <v>9174</v>
      </c>
      <c r="Q28" s="274">
        <f t="shared" si="0"/>
        <v>430</v>
      </c>
      <c r="R28" s="274">
        <f t="shared" si="1"/>
        <v>1614</v>
      </c>
      <c r="S28" s="275">
        <f t="shared" si="2"/>
        <v>7130</v>
      </c>
      <c r="T28" s="274">
        <f t="shared" si="7"/>
        <v>16272</v>
      </c>
      <c r="U28" s="276">
        <f t="shared" si="8"/>
        <v>1.1538209643302278E-2</v>
      </c>
      <c r="V28" s="275">
        <f t="shared" si="3"/>
        <v>0</v>
      </c>
    </row>
    <row r="29" spans="1:22" ht="11.25" customHeight="1">
      <c r="A29" s="277" t="s">
        <v>78</v>
      </c>
      <c r="B29" s="272">
        <f>1898+B48</f>
        <v>2004</v>
      </c>
      <c r="C29" s="278">
        <f>0+C48</f>
        <v>6</v>
      </c>
      <c r="D29" s="278">
        <f>386+D48</f>
        <v>408</v>
      </c>
      <c r="E29" s="272">
        <f>3498+E48</f>
        <v>3699</v>
      </c>
      <c r="F29" s="278">
        <f>939+F48</f>
        <v>1043</v>
      </c>
      <c r="G29" s="278">
        <v>20</v>
      </c>
      <c r="H29" s="285">
        <f>SUM(B29:G29)</f>
        <v>7180</v>
      </c>
      <c r="I29" s="272">
        <f>19938+I48</f>
        <v>20921</v>
      </c>
      <c r="J29" s="278">
        <v>0</v>
      </c>
      <c r="K29" s="278">
        <v>7</v>
      </c>
      <c r="L29" s="278">
        <v>36</v>
      </c>
      <c r="M29" s="285">
        <f t="shared" si="5"/>
        <v>20964</v>
      </c>
      <c r="N29" s="278">
        <v>0</v>
      </c>
      <c r="O29" s="278">
        <v>568</v>
      </c>
      <c r="P29" s="286">
        <f t="shared" si="6"/>
        <v>28712</v>
      </c>
      <c r="Q29" s="274">
        <f t="shared" si="0"/>
        <v>2412</v>
      </c>
      <c r="R29" s="274">
        <f t="shared" si="1"/>
        <v>4768</v>
      </c>
      <c r="S29" s="275">
        <f t="shared" si="2"/>
        <v>21532</v>
      </c>
      <c r="T29" s="274">
        <f t="shared" si="7"/>
        <v>59956</v>
      </c>
      <c r="U29" s="276">
        <f t="shared" si="8"/>
        <v>4.2513821126710385E-2</v>
      </c>
      <c r="V29" s="275">
        <f t="shared" si="3"/>
        <v>0</v>
      </c>
    </row>
    <row r="30" spans="1:22" ht="11.25" customHeight="1">
      <c r="A30" s="269" t="s">
        <v>79</v>
      </c>
      <c r="B30" s="270">
        <v>554</v>
      </c>
      <c r="C30" s="270">
        <v>218</v>
      </c>
      <c r="D30" s="270">
        <v>186</v>
      </c>
      <c r="E30" s="271">
        <v>1349</v>
      </c>
      <c r="F30" s="270">
        <v>620</v>
      </c>
      <c r="G30" s="270">
        <v>1</v>
      </c>
      <c r="H30" s="285">
        <f t="shared" si="4"/>
        <v>2928</v>
      </c>
      <c r="I30" s="271">
        <v>13751</v>
      </c>
      <c r="J30" s="270">
        <v>0</v>
      </c>
      <c r="K30" s="270">
        <v>0</v>
      </c>
      <c r="L30" s="270">
        <v>12</v>
      </c>
      <c r="M30" s="285">
        <f t="shared" si="5"/>
        <v>13763</v>
      </c>
      <c r="N30" s="270">
        <v>917</v>
      </c>
      <c r="O30" s="270">
        <v>196</v>
      </c>
      <c r="P30" s="286">
        <f t="shared" si="6"/>
        <v>17804</v>
      </c>
      <c r="Q30" s="274">
        <f t="shared" si="0"/>
        <v>740</v>
      </c>
      <c r="R30" s="274">
        <f t="shared" si="1"/>
        <v>2188</v>
      </c>
      <c r="S30" s="275">
        <f t="shared" si="2"/>
        <v>14876</v>
      </c>
      <c r="T30" s="274">
        <f t="shared" si="7"/>
        <v>28840</v>
      </c>
      <c r="U30" s="276">
        <f t="shared" si="8"/>
        <v>2.0449973335351385E-2</v>
      </c>
      <c r="V30" s="275">
        <f t="shared" si="3"/>
        <v>0</v>
      </c>
    </row>
    <row r="31" spans="1:22" ht="11.25" customHeight="1">
      <c r="A31" s="269" t="s">
        <v>80</v>
      </c>
      <c r="B31" s="270">
        <v>20</v>
      </c>
      <c r="C31" s="270">
        <v>0</v>
      </c>
      <c r="D31" s="270">
        <v>5</v>
      </c>
      <c r="E31" s="270">
        <v>203</v>
      </c>
      <c r="F31" s="270">
        <v>125</v>
      </c>
      <c r="G31" s="270">
        <v>0</v>
      </c>
      <c r="H31" s="285">
        <f t="shared" si="4"/>
        <v>353</v>
      </c>
      <c r="I31" s="271">
        <v>3486</v>
      </c>
      <c r="J31" s="270">
        <v>0</v>
      </c>
      <c r="K31" s="270">
        <v>5</v>
      </c>
      <c r="L31" s="270">
        <v>2</v>
      </c>
      <c r="M31" s="285">
        <f t="shared" si="5"/>
        <v>3493</v>
      </c>
      <c r="N31" s="270">
        <v>62</v>
      </c>
      <c r="O31" s="270">
        <v>192</v>
      </c>
      <c r="P31" s="286">
        <f t="shared" si="6"/>
        <v>4100</v>
      </c>
      <c r="Q31" s="274">
        <f t="shared" si="0"/>
        <v>25</v>
      </c>
      <c r="R31" s="274">
        <f t="shared" si="1"/>
        <v>328</v>
      </c>
      <c r="S31" s="275">
        <f t="shared" si="2"/>
        <v>3747</v>
      </c>
      <c r="T31" s="274">
        <f t="shared" si="7"/>
        <v>4981</v>
      </c>
      <c r="U31" s="276">
        <f t="shared" si="8"/>
        <v>3.5319458107969919E-3</v>
      </c>
      <c r="V31" s="275">
        <f t="shared" si="3"/>
        <v>0</v>
      </c>
    </row>
    <row r="32" spans="1:22" ht="11.25" customHeight="1">
      <c r="A32" s="269" t="s">
        <v>81</v>
      </c>
      <c r="B32" s="271">
        <v>2463</v>
      </c>
      <c r="C32" s="270">
        <v>62</v>
      </c>
      <c r="D32" s="270">
        <v>306</v>
      </c>
      <c r="E32" s="271">
        <v>2732</v>
      </c>
      <c r="F32" s="270">
        <v>633</v>
      </c>
      <c r="G32" s="270">
        <v>9</v>
      </c>
      <c r="H32" s="285">
        <f t="shared" si="4"/>
        <v>6205</v>
      </c>
      <c r="I32" s="271">
        <v>22302</v>
      </c>
      <c r="J32" s="270">
        <v>0</v>
      </c>
      <c r="K32" s="270">
        <v>126</v>
      </c>
      <c r="L32" s="270">
        <v>50</v>
      </c>
      <c r="M32" s="285">
        <f t="shared" si="5"/>
        <v>22478</v>
      </c>
      <c r="N32" s="270">
        <v>0</v>
      </c>
      <c r="O32" s="270">
        <v>384</v>
      </c>
      <c r="P32" s="286">
        <f t="shared" si="6"/>
        <v>29067</v>
      </c>
      <c r="Q32" s="274">
        <f t="shared" si="0"/>
        <v>2769</v>
      </c>
      <c r="R32" s="274">
        <f t="shared" si="1"/>
        <v>3436</v>
      </c>
      <c r="S32" s="275">
        <f t="shared" si="2"/>
        <v>22862</v>
      </c>
      <c r="T32" s="274">
        <f t="shared" si="7"/>
        <v>60860</v>
      </c>
      <c r="U32" s="276">
        <f t="shared" si="8"/>
        <v>4.3154832773560511E-2</v>
      </c>
      <c r="V32" s="275">
        <f t="shared" si="3"/>
        <v>0</v>
      </c>
    </row>
    <row r="33" spans="1:22" ht="11.25" customHeight="1">
      <c r="A33" s="269" t="s">
        <v>52</v>
      </c>
      <c r="B33" s="270">
        <v>653</v>
      </c>
      <c r="C33" s="270">
        <v>258</v>
      </c>
      <c r="D33" s="270">
        <v>49</v>
      </c>
      <c r="E33" s="271">
        <v>2718</v>
      </c>
      <c r="F33" s="270">
        <v>866</v>
      </c>
      <c r="G33" s="270">
        <v>8</v>
      </c>
      <c r="H33" s="285">
        <f t="shared" si="4"/>
        <v>4552</v>
      </c>
      <c r="I33" s="271">
        <v>17488</v>
      </c>
      <c r="J33" s="270">
        <v>65</v>
      </c>
      <c r="K33" s="270">
        <v>31</v>
      </c>
      <c r="L33" s="270">
        <v>40</v>
      </c>
      <c r="M33" s="285">
        <f t="shared" si="5"/>
        <v>17624</v>
      </c>
      <c r="N33" s="270">
        <v>199</v>
      </c>
      <c r="O33" s="270">
        <v>160</v>
      </c>
      <c r="P33" s="286">
        <f t="shared" si="6"/>
        <v>22535</v>
      </c>
      <c r="Q33" s="274">
        <f t="shared" si="0"/>
        <v>702</v>
      </c>
      <c r="R33" s="274">
        <f t="shared" si="1"/>
        <v>3850</v>
      </c>
      <c r="S33" s="275">
        <f t="shared" si="2"/>
        <v>17983</v>
      </c>
      <c r="T33" s="274">
        <f t="shared" si="7"/>
        <v>36553</v>
      </c>
      <c r="U33" s="276">
        <f t="shared" si="8"/>
        <v>2.5919135760301634E-2</v>
      </c>
      <c r="V33" s="275">
        <f t="shared" si="3"/>
        <v>0</v>
      </c>
    </row>
    <row r="34" spans="1:22" ht="11.25" customHeight="1">
      <c r="A34" s="269" t="s">
        <v>41</v>
      </c>
      <c r="B34" s="270">
        <v>115</v>
      </c>
      <c r="C34" s="270">
        <v>20</v>
      </c>
      <c r="D34" s="270">
        <v>19</v>
      </c>
      <c r="E34" s="271">
        <v>2332</v>
      </c>
      <c r="F34" s="270">
        <v>636</v>
      </c>
      <c r="G34" s="270">
        <v>1</v>
      </c>
      <c r="H34" s="285">
        <f t="shared" si="4"/>
        <v>3123</v>
      </c>
      <c r="I34" s="271">
        <v>7861</v>
      </c>
      <c r="J34" s="270">
        <v>240</v>
      </c>
      <c r="K34" s="270">
        <v>173</v>
      </c>
      <c r="L34" s="270">
        <v>140</v>
      </c>
      <c r="M34" s="285">
        <f t="shared" si="5"/>
        <v>8414</v>
      </c>
      <c r="N34" s="270">
        <v>319</v>
      </c>
      <c r="O34" s="270">
        <v>381</v>
      </c>
      <c r="P34" s="286">
        <f t="shared" si="6"/>
        <v>12237</v>
      </c>
      <c r="Q34" s="274">
        <f t="shared" si="0"/>
        <v>134</v>
      </c>
      <c r="R34" s="274">
        <f t="shared" si="1"/>
        <v>2989</v>
      </c>
      <c r="S34" s="275">
        <f t="shared" si="2"/>
        <v>9114</v>
      </c>
      <c r="T34" s="274">
        <f t="shared" si="7"/>
        <v>19421</v>
      </c>
      <c r="U34" s="276">
        <f t="shared" si="8"/>
        <v>1.3771114152075563E-2</v>
      </c>
      <c r="V34" s="275">
        <f t="shared" si="3"/>
        <v>0</v>
      </c>
    </row>
    <row r="35" spans="1:22" ht="11.25" customHeight="1">
      <c r="A35" s="269" t="s">
        <v>82</v>
      </c>
      <c r="B35" s="271">
        <v>2363</v>
      </c>
      <c r="C35" s="270">
        <v>29</v>
      </c>
      <c r="D35" s="270">
        <v>528</v>
      </c>
      <c r="E35" s="271">
        <v>4454</v>
      </c>
      <c r="F35" s="270">
        <v>857</v>
      </c>
      <c r="G35" s="270">
        <v>7</v>
      </c>
      <c r="H35" s="285">
        <f t="shared" si="4"/>
        <v>8238</v>
      </c>
      <c r="I35" s="271">
        <v>26804</v>
      </c>
      <c r="J35" s="270">
        <v>0</v>
      </c>
      <c r="K35" s="270">
        <v>108</v>
      </c>
      <c r="L35" s="270">
        <v>39</v>
      </c>
      <c r="M35" s="285">
        <f t="shared" si="5"/>
        <v>26951</v>
      </c>
      <c r="N35" s="270">
        <v>18</v>
      </c>
      <c r="O35" s="270">
        <v>376</v>
      </c>
      <c r="P35" s="286">
        <f t="shared" si="6"/>
        <v>35583</v>
      </c>
      <c r="Q35" s="274">
        <f t="shared" si="0"/>
        <v>2891</v>
      </c>
      <c r="R35" s="274">
        <f t="shared" si="1"/>
        <v>5347</v>
      </c>
      <c r="S35" s="275">
        <f t="shared" si="2"/>
        <v>27345</v>
      </c>
      <c r="T35" s="274">
        <f t="shared" si="7"/>
        <v>72296</v>
      </c>
      <c r="U35" s="276">
        <f t="shared" si="8"/>
        <v>5.1263913739686674E-2</v>
      </c>
      <c r="V35" s="275">
        <f t="shared" si="3"/>
        <v>0</v>
      </c>
    </row>
    <row r="36" spans="1:22" ht="11.25" customHeight="1">
      <c r="A36" s="277" t="s">
        <v>54</v>
      </c>
      <c r="B36" s="278">
        <f>704+B49</f>
        <v>715</v>
      </c>
      <c r="C36" s="278">
        <v>0</v>
      </c>
      <c r="D36" s="278">
        <f>131+D49</f>
        <v>134</v>
      </c>
      <c r="E36" s="278">
        <f>500+E49</f>
        <v>512</v>
      </c>
      <c r="F36" s="278">
        <f>313+F49</f>
        <v>344</v>
      </c>
      <c r="G36" s="278">
        <v>0</v>
      </c>
      <c r="H36" s="285">
        <f t="shared" si="4"/>
        <v>1705</v>
      </c>
      <c r="I36" s="272">
        <f>11049+I49</f>
        <v>11360</v>
      </c>
      <c r="J36" s="278">
        <v>167</v>
      </c>
      <c r="K36" s="278">
        <f>60+K49</f>
        <v>327</v>
      </c>
      <c r="L36" s="278">
        <f>7+L49</f>
        <v>8</v>
      </c>
      <c r="M36" s="285">
        <f t="shared" si="5"/>
        <v>11862</v>
      </c>
      <c r="N36" s="278">
        <v>331</v>
      </c>
      <c r="O36" s="278">
        <v>5</v>
      </c>
      <c r="P36" s="286">
        <f t="shared" si="6"/>
        <v>13903</v>
      </c>
      <c r="Q36" s="274">
        <f t="shared" si="0"/>
        <v>849</v>
      </c>
      <c r="R36" s="274">
        <f t="shared" si="1"/>
        <v>856</v>
      </c>
      <c r="S36" s="275">
        <f t="shared" si="2"/>
        <v>12198</v>
      </c>
      <c r="T36" s="274">
        <f t="shared" si="7"/>
        <v>23256</v>
      </c>
      <c r="U36" s="276">
        <f t="shared" si="8"/>
        <v>1.6490450065427594E-2</v>
      </c>
      <c r="V36" s="275">
        <f t="shared" si="3"/>
        <v>0</v>
      </c>
    </row>
    <row r="37" spans="1:22" ht="11.25" customHeight="1">
      <c r="A37" s="269" t="s">
        <v>21</v>
      </c>
      <c r="B37" s="270">
        <v>766</v>
      </c>
      <c r="C37" s="270">
        <v>0</v>
      </c>
      <c r="D37" s="270">
        <v>177</v>
      </c>
      <c r="E37" s="271">
        <v>3867</v>
      </c>
      <c r="F37" s="271">
        <v>1121</v>
      </c>
      <c r="G37" s="270">
        <v>5</v>
      </c>
      <c r="H37" s="285">
        <f t="shared" si="4"/>
        <v>5936</v>
      </c>
      <c r="I37" s="271">
        <v>16885</v>
      </c>
      <c r="J37" s="270">
        <v>0</v>
      </c>
      <c r="K37" s="270">
        <v>1</v>
      </c>
      <c r="L37" s="270">
        <v>7</v>
      </c>
      <c r="M37" s="285">
        <f t="shared" si="5"/>
        <v>16893</v>
      </c>
      <c r="N37" s="270">
        <v>121</v>
      </c>
      <c r="O37" s="270">
        <v>141</v>
      </c>
      <c r="P37" s="286">
        <f t="shared" si="6"/>
        <v>23091</v>
      </c>
      <c r="Q37" s="274">
        <f t="shared" si="0"/>
        <v>943</v>
      </c>
      <c r="R37" s="274">
        <f t="shared" si="1"/>
        <v>4993</v>
      </c>
      <c r="S37" s="275">
        <f t="shared" si="2"/>
        <v>17155</v>
      </c>
      <c r="T37" s="274">
        <f t="shared" si="7"/>
        <v>41564</v>
      </c>
      <c r="U37" s="276">
        <f t="shared" si="8"/>
        <v>2.9472354081502946E-2</v>
      </c>
      <c r="V37" s="275">
        <f t="shared" si="3"/>
        <v>0</v>
      </c>
    </row>
    <row r="38" spans="1:22" ht="11.25" customHeight="1">
      <c r="A38" s="269" t="s">
        <v>42</v>
      </c>
      <c r="B38" s="270">
        <v>40</v>
      </c>
      <c r="C38" s="270">
        <v>0</v>
      </c>
      <c r="D38" s="270">
        <v>9</v>
      </c>
      <c r="E38" s="270">
        <v>249</v>
      </c>
      <c r="F38" s="270">
        <v>274</v>
      </c>
      <c r="G38" s="270">
        <v>1</v>
      </c>
      <c r="H38" s="285">
        <f t="shared" si="4"/>
        <v>573</v>
      </c>
      <c r="I38" s="271">
        <v>2765</v>
      </c>
      <c r="J38" s="270">
        <v>0</v>
      </c>
      <c r="K38" s="270">
        <v>0</v>
      </c>
      <c r="L38" s="270">
        <v>70</v>
      </c>
      <c r="M38" s="285">
        <f t="shared" si="5"/>
        <v>2835</v>
      </c>
      <c r="N38" s="270">
        <v>148</v>
      </c>
      <c r="O38" s="270">
        <v>160</v>
      </c>
      <c r="P38" s="286">
        <f t="shared" si="6"/>
        <v>3716</v>
      </c>
      <c r="Q38" s="274">
        <f t="shared" si="0"/>
        <v>49</v>
      </c>
      <c r="R38" s="274">
        <f t="shared" si="1"/>
        <v>524</v>
      </c>
      <c r="S38" s="275">
        <f t="shared" si="2"/>
        <v>3143</v>
      </c>
      <c r="T38" s="274">
        <f t="shared" si="7"/>
        <v>5205</v>
      </c>
      <c r="U38" s="276">
        <f t="shared" si="8"/>
        <v>3.6907805551492355E-3</v>
      </c>
      <c r="V38" s="275">
        <f t="shared" si="3"/>
        <v>0</v>
      </c>
    </row>
    <row r="39" spans="1:22" ht="11.25" customHeight="1">
      <c r="A39" s="269" t="s">
        <v>83</v>
      </c>
      <c r="B39" s="271">
        <v>1271</v>
      </c>
      <c r="C39" s="270">
        <v>3</v>
      </c>
      <c r="D39" s="270">
        <v>178</v>
      </c>
      <c r="E39" s="270">
        <v>803</v>
      </c>
      <c r="F39" s="270">
        <v>406</v>
      </c>
      <c r="G39" s="270">
        <v>10</v>
      </c>
      <c r="H39" s="285">
        <f t="shared" si="4"/>
        <v>2671</v>
      </c>
      <c r="I39" s="271">
        <v>11746</v>
      </c>
      <c r="J39" s="270">
        <v>0</v>
      </c>
      <c r="K39" s="270">
        <v>17</v>
      </c>
      <c r="L39" s="270">
        <v>116</v>
      </c>
      <c r="M39" s="285">
        <f t="shared" si="5"/>
        <v>11879</v>
      </c>
      <c r="N39" s="270">
        <v>44</v>
      </c>
      <c r="O39" s="270">
        <v>2</v>
      </c>
      <c r="P39" s="286">
        <f t="shared" si="6"/>
        <v>14596</v>
      </c>
      <c r="Q39" s="274">
        <f t="shared" si="0"/>
        <v>1449</v>
      </c>
      <c r="R39" s="274">
        <f t="shared" si="1"/>
        <v>1222</v>
      </c>
      <c r="S39" s="275">
        <f t="shared" si="2"/>
        <v>11925</v>
      </c>
      <c r="T39" s="274">
        <f t="shared" si="7"/>
        <v>30081</v>
      </c>
      <c r="U39" s="276">
        <f t="shared" si="8"/>
        <v>2.132994618241002E-2</v>
      </c>
      <c r="V39" s="275">
        <f t="shared" si="3"/>
        <v>0</v>
      </c>
    </row>
    <row r="40" spans="1:22" ht="11.25" customHeight="1">
      <c r="A40" s="269" t="s">
        <v>22</v>
      </c>
      <c r="B40" s="270">
        <v>453</v>
      </c>
      <c r="C40" s="270">
        <v>0</v>
      </c>
      <c r="D40" s="270">
        <v>52</v>
      </c>
      <c r="E40" s="271">
        <v>1652</v>
      </c>
      <c r="F40" s="270">
        <v>708</v>
      </c>
      <c r="G40" s="270">
        <v>1</v>
      </c>
      <c r="H40" s="285">
        <f t="shared" si="4"/>
        <v>2866</v>
      </c>
      <c r="I40" s="271">
        <v>20708</v>
      </c>
      <c r="J40" s="270">
        <v>0</v>
      </c>
      <c r="K40" s="270">
        <v>3</v>
      </c>
      <c r="L40" s="270">
        <v>7</v>
      </c>
      <c r="M40" s="285">
        <f t="shared" si="5"/>
        <v>20718</v>
      </c>
      <c r="N40" s="270">
        <v>57</v>
      </c>
      <c r="O40" s="270">
        <v>309</v>
      </c>
      <c r="P40" s="286">
        <f t="shared" si="6"/>
        <v>23950</v>
      </c>
      <c r="Q40" s="274">
        <f t="shared" si="0"/>
        <v>505</v>
      </c>
      <c r="R40" s="274">
        <f t="shared" si="1"/>
        <v>2361</v>
      </c>
      <c r="S40" s="275">
        <f t="shared" si="2"/>
        <v>21084</v>
      </c>
      <c r="T40" s="274">
        <f t="shared" si="7"/>
        <v>33217</v>
      </c>
      <c r="U40" s="276">
        <f t="shared" si="8"/>
        <v>2.3553632603341434E-2</v>
      </c>
      <c r="V40" s="275">
        <f t="shared" si="3"/>
        <v>0</v>
      </c>
    </row>
    <row r="41" spans="1:22" ht="11.25" customHeight="1">
      <c r="A41" s="269" t="s">
        <v>23</v>
      </c>
      <c r="B41" s="270">
        <v>686</v>
      </c>
      <c r="C41" s="270">
        <v>3</v>
      </c>
      <c r="D41" s="270">
        <v>152</v>
      </c>
      <c r="E41" s="271">
        <v>2468</v>
      </c>
      <c r="F41" s="270">
        <v>606</v>
      </c>
      <c r="G41" s="270">
        <v>1</v>
      </c>
      <c r="H41" s="285">
        <f t="shared" si="4"/>
        <v>3916</v>
      </c>
      <c r="I41" s="271">
        <v>11173</v>
      </c>
      <c r="J41" s="270">
        <v>0</v>
      </c>
      <c r="K41" s="270">
        <v>270</v>
      </c>
      <c r="L41" s="270">
        <v>8</v>
      </c>
      <c r="M41" s="285">
        <f t="shared" si="5"/>
        <v>11451</v>
      </c>
      <c r="N41" s="270">
        <v>161</v>
      </c>
      <c r="O41" s="270">
        <v>331</v>
      </c>
      <c r="P41" s="286">
        <f t="shared" si="6"/>
        <v>15859</v>
      </c>
      <c r="Q41" s="274">
        <f t="shared" si="0"/>
        <v>838</v>
      </c>
      <c r="R41" s="274">
        <f t="shared" si="1"/>
        <v>3078</v>
      </c>
      <c r="S41" s="275">
        <f t="shared" si="2"/>
        <v>11943</v>
      </c>
      <c r="T41" s="274">
        <f t="shared" si="7"/>
        <v>29557</v>
      </c>
      <c r="U41" s="276">
        <f t="shared" si="8"/>
        <v>2.0958386334014593E-2</v>
      </c>
      <c r="V41" s="275">
        <f t="shared" si="3"/>
        <v>0</v>
      </c>
    </row>
    <row r="42" spans="1:22" ht="11.25" customHeight="1">
      <c r="A42" s="269" t="s">
        <v>33</v>
      </c>
      <c r="B42" s="270">
        <v>377</v>
      </c>
      <c r="C42" s="270">
        <v>27</v>
      </c>
      <c r="D42" s="270">
        <v>33</v>
      </c>
      <c r="E42" s="271">
        <v>1418</v>
      </c>
      <c r="F42" s="270">
        <v>386</v>
      </c>
      <c r="G42" s="270">
        <v>0</v>
      </c>
      <c r="H42" s="285">
        <f t="shared" si="4"/>
        <v>2241</v>
      </c>
      <c r="I42" s="271">
        <v>11922</v>
      </c>
      <c r="J42" s="270">
        <v>0</v>
      </c>
      <c r="K42" s="270">
        <v>0</v>
      </c>
      <c r="L42" s="270">
        <v>0</v>
      </c>
      <c r="M42" s="285">
        <f t="shared" si="5"/>
        <v>11922</v>
      </c>
      <c r="N42" s="270">
        <v>143</v>
      </c>
      <c r="O42" s="270">
        <v>125</v>
      </c>
      <c r="P42" s="286">
        <f t="shared" si="6"/>
        <v>14431</v>
      </c>
      <c r="Q42" s="274">
        <f t="shared" si="0"/>
        <v>410</v>
      </c>
      <c r="R42" s="274">
        <f t="shared" si="1"/>
        <v>1831</v>
      </c>
      <c r="S42" s="275">
        <f t="shared" si="2"/>
        <v>12190</v>
      </c>
      <c r="T42" s="274">
        <f>(10*Q42)+(3*R42)+S42</f>
        <v>21783</v>
      </c>
      <c r="U42" s="276">
        <f>T42/($T$43+$T$59)</f>
        <v>1.5445969804575561E-2</v>
      </c>
      <c r="V42" s="275">
        <f t="shared" si="3"/>
        <v>0</v>
      </c>
    </row>
    <row r="43" spans="1:22" s="279" customFormat="1" ht="12" thickBot="1">
      <c r="A43" s="407" t="s">
        <v>10</v>
      </c>
      <c r="B43" s="259">
        <f>SUM(B4:B42)</f>
        <v>28715</v>
      </c>
      <c r="C43" s="259">
        <f t="shared" ref="C43:O43" si="9">SUM(C4:C42)</f>
        <v>1065</v>
      </c>
      <c r="D43" s="259">
        <f t="shared" si="9"/>
        <v>5111</v>
      </c>
      <c r="E43" s="259">
        <f t="shared" si="9"/>
        <v>76894</v>
      </c>
      <c r="F43" s="259">
        <f t="shared" si="9"/>
        <v>29366</v>
      </c>
      <c r="G43" s="259">
        <f t="shared" si="9"/>
        <v>216</v>
      </c>
      <c r="H43" s="260">
        <f t="shared" si="9"/>
        <v>141367</v>
      </c>
      <c r="I43" s="259">
        <f t="shared" si="9"/>
        <v>519181</v>
      </c>
      <c r="J43" s="259">
        <f t="shared" si="9"/>
        <v>3448</v>
      </c>
      <c r="K43" s="259">
        <f t="shared" si="9"/>
        <v>3383</v>
      </c>
      <c r="L43" s="259">
        <f>SUM(L4:L42)</f>
        <v>1745</v>
      </c>
      <c r="M43" s="260">
        <f>SUM(M4:M42)</f>
        <v>527757</v>
      </c>
      <c r="N43" s="259">
        <f t="shared" si="9"/>
        <v>3818</v>
      </c>
      <c r="O43" s="259">
        <f t="shared" si="9"/>
        <v>8444</v>
      </c>
      <c r="P43" s="261">
        <f t="shared" ref="P43:U43" si="10">SUM(P4:P42)</f>
        <v>681386</v>
      </c>
      <c r="Q43" s="259">
        <f t="shared" si="10"/>
        <v>33826</v>
      </c>
      <c r="R43" s="259">
        <f t="shared" si="10"/>
        <v>107541</v>
      </c>
      <c r="S43" s="259">
        <f t="shared" si="10"/>
        <v>540019</v>
      </c>
      <c r="T43" s="259">
        <f t="shared" si="10"/>
        <v>1200902</v>
      </c>
      <c r="U43" s="344">
        <f t="shared" si="10"/>
        <v>0.85154000965222421</v>
      </c>
      <c r="V43" s="259"/>
    </row>
    <row r="44" spans="1:22" ht="11.25" customHeight="1">
      <c r="A44" s="269" t="s">
        <v>247</v>
      </c>
      <c r="B44" s="271">
        <f>'Tbl 35 2005'!B43</f>
        <v>28033</v>
      </c>
      <c r="C44" s="271">
        <f>'Tbl 35 2005'!C43</f>
        <v>1168</v>
      </c>
      <c r="D44" s="271">
        <f>'Tbl 35 2005'!D43</f>
        <v>5445</v>
      </c>
      <c r="E44" s="271">
        <f>'Tbl 35 2005'!E43</f>
        <v>75719</v>
      </c>
      <c r="F44" s="271">
        <f>'Tbl 35 2005'!F43</f>
        <v>28057</v>
      </c>
      <c r="G44" s="270">
        <v>524</v>
      </c>
      <c r="H44" s="285">
        <f>SUM(B44:G44)</f>
        <v>138946</v>
      </c>
      <c r="I44" s="271">
        <f>'Tbl 35 2005'!H43</f>
        <v>509102</v>
      </c>
      <c r="J44" s="271">
        <f>'Tbl 35 2005'!I43</f>
        <v>1769</v>
      </c>
      <c r="K44" s="271">
        <f>'Tbl 35 2005'!J43</f>
        <v>4550</v>
      </c>
      <c r="L44" s="271">
        <f>'Tbl 35 2005'!J43</f>
        <v>4550</v>
      </c>
      <c r="M44" s="285">
        <v>522015</v>
      </c>
      <c r="N44" s="271">
        <f>'Tbl 35 2005'!L43</f>
        <v>3112</v>
      </c>
      <c r="O44" s="271">
        <f>'Tbl 35 2005'!M43</f>
        <v>8502</v>
      </c>
      <c r="P44" s="286">
        <f>'Tbl 35 2005'!P43</f>
        <v>667654</v>
      </c>
      <c r="Q44" s="506">
        <f>'Tbl 35 2005'!Q43</f>
        <v>33478</v>
      </c>
      <c r="R44" s="506">
        <f>'Tbl 35 2005'!R43</f>
        <v>104944</v>
      </c>
      <c r="S44" s="506">
        <f>'Tbl 35 2005'!S43</f>
        <v>529246</v>
      </c>
      <c r="T44" s="506">
        <f>'Tbl 35 2005'!T43</f>
        <v>1178858</v>
      </c>
    </row>
    <row r="45" spans="1:22" ht="11.25" customHeight="1">
      <c r="A45" s="280" t="s">
        <v>248</v>
      </c>
      <c r="B45" s="281">
        <f>SUM(B43-B44)/B44</f>
        <v>2.4328470017479398E-2</v>
      </c>
      <c r="C45" s="281">
        <f t="shared" ref="C45:O45" si="11">SUM(C43-C44)/C44</f>
        <v>-8.8184931506849321E-2</v>
      </c>
      <c r="D45" s="281">
        <f t="shared" si="11"/>
        <v>-6.1340679522497707E-2</v>
      </c>
      <c r="E45" s="281">
        <f t="shared" si="11"/>
        <v>1.551790171555356E-2</v>
      </c>
      <c r="F45" s="281">
        <f t="shared" si="11"/>
        <v>4.6655023701750009E-2</v>
      </c>
      <c r="G45" s="281">
        <f t="shared" si="11"/>
        <v>-0.58778625954198471</v>
      </c>
      <c r="H45" s="282">
        <f t="shared" si="11"/>
        <v>1.7424035236710666E-2</v>
      </c>
      <c r="I45" s="281">
        <f t="shared" si="11"/>
        <v>1.9797604409332512E-2</v>
      </c>
      <c r="J45" s="281">
        <f t="shared" si="11"/>
        <v>0.94912379875635955</v>
      </c>
      <c r="K45" s="281">
        <f t="shared" si="11"/>
        <v>-0.25648351648351647</v>
      </c>
      <c r="L45" s="281">
        <f>SUM(L43-L44)/L44</f>
        <v>-0.61648351648351651</v>
      </c>
      <c r="M45" s="282">
        <f t="shared" si="11"/>
        <v>1.0999683917128819E-2</v>
      </c>
      <c r="N45" s="281">
        <f t="shared" si="11"/>
        <v>0.2268637532133676</v>
      </c>
      <c r="O45" s="281">
        <f t="shared" si="11"/>
        <v>-6.8219242531169138E-3</v>
      </c>
      <c r="P45" s="287">
        <f>SUM(P43,-P44)/P44</f>
        <v>2.056753947403895E-2</v>
      </c>
      <c r="Q45" s="276">
        <f>(Q43-Q44)/Q44</f>
        <v>1.0394886193918394E-2</v>
      </c>
      <c r="R45" s="276">
        <f>(R43-R44)/R44</f>
        <v>2.4746531483457845E-2</v>
      </c>
      <c r="S45" s="276">
        <f>(S43-S44)/S44</f>
        <v>2.0355373493611665E-2</v>
      </c>
      <c r="T45" s="276">
        <f>(T43-T44)/T44</f>
        <v>1.8699453199622008E-2</v>
      </c>
    </row>
    <row r="46" spans="1:22" ht="11.25" customHeight="1"/>
    <row r="47" spans="1:22" ht="11.25" customHeight="1"/>
    <row r="48" spans="1:22" ht="11.25" customHeight="1">
      <c r="A48" s="277" t="s">
        <v>246</v>
      </c>
      <c r="B48" s="278">
        <v>106</v>
      </c>
      <c r="C48" s="278">
        <v>6</v>
      </c>
      <c r="D48" s="278">
        <v>22</v>
      </c>
      <c r="E48" s="278">
        <v>201</v>
      </c>
      <c r="F48" s="278">
        <v>104</v>
      </c>
      <c r="G48" s="278">
        <v>0</v>
      </c>
      <c r="H48" s="284">
        <f>SUM(B48:G48)</f>
        <v>439</v>
      </c>
      <c r="I48" s="278">
        <v>983</v>
      </c>
      <c r="J48" s="278">
        <v>0</v>
      </c>
      <c r="K48" s="278">
        <v>0</v>
      </c>
      <c r="L48" s="278">
        <v>0</v>
      </c>
      <c r="M48" s="284">
        <v>983</v>
      </c>
      <c r="N48" s="278">
        <v>0</v>
      </c>
      <c r="O48" s="278">
        <v>59</v>
      </c>
      <c r="P48" s="272">
        <f>SUM(B48:O48)</f>
        <v>2903</v>
      </c>
    </row>
    <row r="49" spans="1:24" ht="11.25" customHeight="1">
      <c r="A49" s="277" t="s">
        <v>240</v>
      </c>
      <c r="B49" s="278">
        <v>11</v>
      </c>
      <c r="C49" s="278">
        <v>0</v>
      </c>
      <c r="D49" s="278">
        <v>3</v>
      </c>
      <c r="E49" s="278">
        <v>12</v>
      </c>
      <c r="F49" s="278">
        <v>31</v>
      </c>
      <c r="G49" s="278">
        <v>0</v>
      </c>
      <c r="H49" s="284">
        <f>SUM(B49:G49)</f>
        <v>57</v>
      </c>
      <c r="I49" s="278">
        <v>311</v>
      </c>
      <c r="J49" s="278">
        <v>0</v>
      </c>
      <c r="K49" s="278">
        <v>267</v>
      </c>
      <c r="L49" s="278">
        <v>1</v>
      </c>
      <c r="M49" s="284">
        <v>579</v>
      </c>
      <c r="N49" s="278">
        <v>0</v>
      </c>
      <c r="O49" s="278">
        <v>1</v>
      </c>
      <c r="P49" s="272">
        <f>SUM(B49:O49)</f>
        <v>1273</v>
      </c>
    </row>
    <row r="51" spans="1:24">
      <c r="A51" s="316" t="str">
        <f>'NZ EFT08-2011'!$B$54</f>
        <v>Auckland University of Technology</v>
      </c>
      <c r="B51" s="289"/>
      <c r="C51" s="289"/>
      <c r="D51" s="289"/>
      <c r="E51" s="289"/>
      <c r="F51" s="289"/>
      <c r="G51" s="289"/>
      <c r="H51" s="289"/>
      <c r="I51" s="289"/>
      <c r="J51" s="289"/>
      <c r="K51" s="289"/>
      <c r="L51" s="290"/>
      <c r="M51" s="289"/>
      <c r="N51" s="289"/>
      <c r="O51" s="289"/>
      <c r="P51" s="286">
        <f>SUM(Q51:S51)</f>
        <v>15343.985900000003</v>
      </c>
      <c r="Q51" s="293">
        <f>'NZ EFT.35 2006-13'!Q214</f>
        <v>146.49619999999996</v>
      </c>
      <c r="R51" s="293">
        <f>'NZ EFT.35 2006-13'!R214</f>
        <v>1237.0090999999998</v>
      </c>
      <c r="S51" s="293">
        <f>'NZ EFT.35 2006-13'!S214</f>
        <v>13960.480600000003</v>
      </c>
      <c r="T51" s="289">
        <f>(10*Q51)+(3*R51)+S51</f>
        <v>19136.469900000004</v>
      </c>
      <c r="U51" s="276">
        <f>T51/($T$43+$T$59)</f>
        <v>1.356935850165584E-2</v>
      </c>
      <c r="V51" s="289"/>
      <c r="W51" s="289"/>
      <c r="X51" s="289"/>
    </row>
    <row r="52" spans="1:24">
      <c r="A52" s="316" t="str">
        <f>'NZ EFT08-2011'!$B$40</f>
        <v>Lincoln University</v>
      </c>
      <c r="B52" s="289"/>
      <c r="C52" s="289"/>
      <c r="D52" s="289"/>
      <c r="E52" s="289"/>
      <c r="F52" s="289"/>
      <c r="G52" s="289"/>
      <c r="H52" s="289"/>
      <c r="I52" s="289"/>
      <c r="J52" s="289"/>
      <c r="K52" s="289"/>
      <c r="L52" s="290"/>
      <c r="M52" s="289"/>
      <c r="N52" s="289"/>
      <c r="O52" s="289"/>
      <c r="P52" s="286">
        <f t="shared" ref="P52:P58" si="12">SUM(Q52:S52)</f>
        <v>3029.9068000000002</v>
      </c>
      <c r="Q52" s="293">
        <f>'NZ EFT.35 2006-13'!Q160</f>
        <v>130.0273</v>
      </c>
      <c r="R52" s="293">
        <f>'NZ EFT.35 2006-13'!R160</f>
        <v>402.10889999999995</v>
      </c>
      <c r="S52" s="293">
        <f>'NZ EFT.35 2006-13'!S160</f>
        <v>2497.7706000000003</v>
      </c>
      <c r="T52" s="289">
        <f t="shared" ref="T52:T58" si="13">(10*Q52)+(3*R52)+S52</f>
        <v>5004.3703000000005</v>
      </c>
      <c r="U52" s="276">
        <f t="shared" ref="U52:U57" si="14">T52/($T$43+$T$59)</f>
        <v>3.5485173091270601E-3</v>
      </c>
      <c r="V52" s="289"/>
      <c r="W52" s="289"/>
      <c r="X52" s="289"/>
    </row>
    <row r="53" spans="1:24">
      <c r="A53" s="316" t="str">
        <f>'NZ EFT08-2011'!$B$19</f>
        <v>Massey University</v>
      </c>
      <c r="B53" s="289"/>
      <c r="C53" s="289"/>
      <c r="D53" s="289"/>
      <c r="E53" s="289"/>
      <c r="F53" s="289"/>
      <c r="G53" s="289"/>
      <c r="H53" s="289"/>
      <c r="I53" s="289"/>
      <c r="J53" s="289"/>
      <c r="K53" s="289"/>
      <c r="L53" s="290"/>
      <c r="M53" s="289"/>
      <c r="N53" s="289"/>
      <c r="O53" s="289"/>
      <c r="P53" s="286">
        <f t="shared" si="12"/>
        <v>19887.161599999985</v>
      </c>
      <c r="Q53" s="293">
        <f>'NZ EFT.35 2006-13'!Q79</f>
        <v>785.53160000000014</v>
      </c>
      <c r="R53" s="293">
        <f>'NZ EFT.35 2006-13'!R79</f>
        <v>4541.558</v>
      </c>
      <c r="S53" s="293">
        <f>'NZ EFT.35 2006-13'!S79</f>
        <v>14560.071999999986</v>
      </c>
      <c r="T53" s="289">
        <f t="shared" si="13"/>
        <v>36040.061999999991</v>
      </c>
      <c r="U53" s="276">
        <f t="shared" si="14"/>
        <v>2.5555419795575952E-2</v>
      </c>
      <c r="V53" s="289"/>
      <c r="W53" s="289"/>
      <c r="X53" s="289"/>
    </row>
    <row r="54" spans="1:24">
      <c r="A54" s="316" t="str">
        <f>'NZ EFT08-2011'!$B$5</f>
        <v>University of Auckland</v>
      </c>
      <c r="B54" s="289"/>
      <c r="C54" s="289"/>
      <c r="D54" s="289"/>
      <c r="E54" s="289"/>
      <c r="F54" s="289"/>
      <c r="G54" s="289"/>
      <c r="H54" s="289"/>
      <c r="I54" s="289"/>
      <c r="J54" s="289"/>
      <c r="K54" s="289"/>
      <c r="L54" s="290"/>
      <c r="M54" s="289"/>
      <c r="N54" s="289"/>
      <c r="O54" s="289"/>
      <c r="P54" s="286">
        <f t="shared" si="12"/>
        <v>29331.276200000004</v>
      </c>
      <c r="Q54" s="293">
        <f>'NZ EFT.35 2006-13'!Q25</f>
        <v>1216.2427999999998</v>
      </c>
      <c r="R54" s="293">
        <f>'NZ EFT.35 2006-13'!R25</f>
        <v>6791.161200000005</v>
      </c>
      <c r="S54" s="293">
        <f>'NZ EFT.35 2006-13'!S25</f>
        <v>21323.872199999998</v>
      </c>
      <c r="T54" s="289">
        <f t="shared" si="13"/>
        <v>53859.783800000012</v>
      </c>
      <c r="U54" s="276">
        <f t="shared" si="14"/>
        <v>3.8191093708661257E-2</v>
      </c>
      <c r="V54" s="289"/>
      <c r="W54" s="289"/>
      <c r="X54" s="289"/>
    </row>
    <row r="55" spans="1:24">
      <c r="A55" s="316" t="str">
        <f>'NZ EFT08-2011'!$B$33</f>
        <v>University of Canterbury</v>
      </c>
      <c r="B55" s="289"/>
      <c r="C55" s="289"/>
      <c r="D55" s="289"/>
      <c r="E55" s="289"/>
      <c r="F55" s="289"/>
      <c r="G55" s="289"/>
      <c r="H55" s="289"/>
      <c r="I55" s="289"/>
      <c r="J55" s="289"/>
      <c r="K55" s="289"/>
      <c r="L55" s="290"/>
      <c r="M55" s="289"/>
      <c r="N55" s="289"/>
      <c r="O55" s="289"/>
      <c r="P55" s="286">
        <f t="shared" si="12"/>
        <v>11919.672999999995</v>
      </c>
      <c r="Q55" s="293">
        <f>'NZ EFT.35 2006-13'!Q133</f>
        <v>527.84569999999997</v>
      </c>
      <c r="R55" s="293">
        <f>'NZ EFT.35 2006-13'!R133</f>
        <v>3207.416299999998</v>
      </c>
      <c r="S55" s="293">
        <f>'NZ EFT.35 2006-13'!S133</f>
        <v>8184.4109999999982</v>
      </c>
      <c r="T55" s="289">
        <f t="shared" si="13"/>
        <v>23085.116899999994</v>
      </c>
      <c r="U55" s="276">
        <f t="shared" si="14"/>
        <v>1.6369279648005181E-2</v>
      </c>
      <c r="V55" s="289"/>
      <c r="W55" s="289"/>
      <c r="X55" s="289"/>
    </row>
    <row r="56" spans="1:24">
      <c r="A56" s="316" t="str">
        <f>'NZ EFT08-2011'!$B$47</f>
        <v>University of Otago</v>
      </c>
      <c r="B56" s="289"/>
      <c r="C56" s="289"/>
      <c r="D56" s="289"/>
      <c r="E56" s="289"/>
      <c r="F56" s="289"/>
      <c r="G56" s="289"/>
      <c r="H56" s="289"/>
      <c r="I56" s="289"/>
      <c r="J56" s="289"/>
      <c r="K56" s="289"/>
      <c r="L56" s="290"/>
      <c r="M56" s="289"/>
      <c r="N56" s="289"/>
      <c r="O56" s="289"/>
      <c r="P56" s="286">
        <f t="shared" si="12"/>
        <v>17527.482400000037</v>
      </c>
      <c r="Q56" s="293">
        <f>'NZ EFT.35 2006-13'!Q187</f>
        <v>753.09999999999991</v>
      </c>
      <c r="R56" s="293">
        <f>'NZ EFT.35 2006-13'!R187</f>
        <v>2547.2302999999997</v>
      </c>
      <c r="S56" s="293">
        <f>'NZ EFT.35 2006-13'!S187</f>
        <v>14227.152100000039</v>
      </c>
      <c r="T56" s="289">
        <f t="shared" si="13"/>
        <v>29399.843000000037</v>
      </c>
      <c r="U56" s="276">
        <f t="shared" si="14"/>
        <v>2.0846948870094237E-2</v>
      </c>
      <c r="V56" s="289"/>
      <c r="W56" s="289"/>
      <c r="X56" s="289"/>
    </row>
    <row r="57" spans="1:24">
      <c r="A57" s="316" t="str">
        <f>'NZ EFT08-2011'!$B$12</f>
        <v>University of Waikato</v>
      </c>
      <c r="B57" s="289"/>
      <c r="C57" s="289"/>
      <c r="D57" s="289"/>
      <c r="E57" s="289"/>
      <c r="F57" s="289"/>
      <c r="G57" s="289"/>
      <c r="H57" s="289"/>
      <c r="I57" s="289"/>
      <c r="J57" s="289"/>
      <c r="K57" s="289"/>
      <c r="L57" s="290"/>
      <c r="M57" s="289"/>
      <c r="N57" s="289"/>
      <c r="O57" s="289"/>
      <c r="P57" s="286">
        <f t="shared" si="12"/>
        <v>9764.1362999999637</v>
      </c>
      <c r="Q57" s="293">
        <f>'NZ EFT.35 2006-13'!Q52</f>
        <v>347.64529999999996</v>
      </c>
      <c r="R57" s="293">
        <f>'NZ EFT.35 2006-13'!R52</f>
        <v>1584.4929</v>
      </c>
      <c r="S57" s="293">
        <f>'NZ EFT.35 2006-13'!S52</f>
        <v>7831.9980999999643</v>
      </c>
      <c r="T57" s="289">
        <f t="shared" si="13"/>
        <v>16061.929799999964</v>
      </c>
      <c r="U57" s="276">
        <f t="shared" si="14"/>
        <v>1.1389252292797679E-2</v>
      </c>
      <c r="V57" s="289"/>
      <c r="W57" s="289"/>
      <c r="X57" s="289"/>
    </row>
    <row r="58" spans="1:24">
      <c r="A58" s="316" t="str">
        <f>'NZ EFT08-2011'!$B$26</f>
        <v>Victoria University of Wellington</v>
      </c>
      <c r="B58" s="289"/>
      <c r="C58" s="289"/>
      <c r="D58" s="289"/>
      <c r="E58" s="289"/>
      <c r="F58" s="289"/>
      <c r="G58" s="289"/>
      <c r="H58" s="289"/>
      <c r="I58" s="289"/>
      <c r="J58" s="289"/>
      <c r="K58" s="289"/>
      <c r="L58" s="290"/>
      <c r="M58" s="289"/>
      <c r="N58" s="289"/>
      <c r="O58" s="289"/>
      <c r="P58" s="286">
        <f t="shared" si="12"/>
        <v>16912.617200000004</v>
      </c>
      <c r="Q58" s="293">
        <f>'NZ EFT.35 2006-13'!Q106</f>
        <v>491.02499999999998</v>
      </c>
      <c r="R58" s="293">
        <f>'NZ EFT.35 2006-13'!R106</f>
        <v>2724.6848</v>
      </c>
      <c r="S58" s="293">
        <f>'NZ EFT.35 2006-13'!S106</f>
        <v>13696.907400000004</v>
      </c>
      <c r="T58" s="289">
        <f t="shared" si="13"/>
        <v>26781.211800000005</v>
      </c>
      <c r="U58" s="276">
        <f>T58/($T$43+$T$59)</f>
        <v>1.8990120221858458E-2</v>
      </c>
      <c r="V58" s="289"/>
      <c r="W58" s="289"/>
      <c r="X58" s="289"/>
    </row>
    <row r="59" spans="1:24" ht="12" thickBot="1">
      <c r="A59" s="482" t="s">
        <v>134</v>
      </c>
      <c r="B59" s="483"/>
      <c r="C59" s="483"/>
      <c r="D59" s="483"/>
      <c r="E59" s="483"/>
      <c r="F59" s="483"/>
      <c r="G59" s="483"/>
      <c r="H59" s="483"/>
      <c r="I59" s="483"/>
      <c r="J59" s="483"/>
      <c r="K59" s="483"/>
      <c r="L59" s="483"/>
      <c r="M59" s="483"/>
      <c r="N59" s="483"/>
      <c r="O59" s="483"/>
      <c r="P59" s="261">
        <f t="shared" ref="P59:U59" si="15">SUM(P51:P58)</f>
        <v>123716.23940000001</v>
      </c>
      <c r="Q59" s="484">
        <f t="shared" si="15"/>
        <v>4397.9138999999996</v>
      </c>
      <c r="R59" s="484">
        <f t="shared" si="15"/>
        <v>23035.661500000002</v>
      </c>
      <c r="S59" s="484">
        <f t="shared" si="15"/>
        <v>96282.66399999999</v>
      </c>
      <c r="T59" s="484">
        <f t="shared" si="15"/>
        <v>209368.78750000003</v>
      </c>
      <c r="U59" s="539">
        <f t="shared" si="15"/>
        <v>0.14845999034777566</v>
      </c>
      <c r="V59" s="483"/>
      <c r="W59" s="483"/>
      <c r="X59" s="289"/>
    </row>
    <row r="60" spans="1:24">
      <c r="A60" s="316"/>
      <c r="B60" s="289"/>
      <c r="C60" s="289"/>
      <c r="D60" s="289"/>
      <c r="E60" s="289"/>
      <c r="F60" s="289"/>
      <c r="G60" s="289"/>
      <c r="H60" s="289"/>
      <c r="I60" s="289"/>
      <c r="J60" s="289"/>
      <c r="K60" s="289"/>
      <c r="L60" s="290"/>
      <c r="M60" s="289"/>
      <c r="N60" s="289"/>
      <c r="O60" s="289"/>
      <c r="P60" s="289"/>
      <c r="Q60" s="289"/>
      <c r="R60" s="289"/>
      <c r="S60" s="289"/>
      <c r="T60" s="289"/>
      <c r="U60" s="289"/>
      <c r="V60" s="289"/>
      <c r="W60" s="289"/>
      <c r="X60" s="289"/>
    </row>
    <row r="61" spans="1:24">
      <c r="A61" s="316" t="s">
        <v>132</v>
      </c>
      <c r="B61" s="289"/>
      <c r="C61" s="289"/>
      <c r="D61" s="289"/>
      <c r="E61" s="289"/>
      <c r="F61" s="289"/>
      <c r="G61" s="289"/>
      <c r="H61" s="289"/>
      <c r="I61" s="289"/>
      <c r="J61" s="289"/>
      <c r="K61" s="289"/>
      <c r="L61" s="290"/>
      <c r="M61" s="289"/>
      <c r="N61" s="289"/>
      <c r="O61" s="289"/>
      <c r="P61" s="537">
        <f t="shared" ref="P61:U61" si="16">P43+P59</f>
        <v>805102.23939999996</v>
      </c>
      <c r="Q61" s="537">
        <f t="shared" si="16"/>
        <v>38223.9139</v>
      </c>
      <c r="R61" s="537">
        <f t="shared" si="16"/>
        <v>130576.6615</v>
      </c>
      <c r="S61" s="537">
        <f t="shared" si="16"/>
        <v>636301.66399999999</v>
      </c>
      <c r="T61" s="537">
        <f t="shared" si="16"/>
        <v>1410270.7875000001</v>
      </c>
      <c r="U61" s="541">
        <f t="shared" si="16"/>
        <v>0.99999999999999989</v>
      </c>
      <c r="V61" s="289"/>
      <c r="W61" s="289"/>
      <c r="X61" s="289"/>
    </row>
  </sheetData>
  <autoFilter ref="A3:T3" xr:uid="{00000000-0009-0000-0000-00000C000000}">
    <sortState xmlns:xlrd2="http://schemas.microsoft.com/office/spreadsheetml/2017/richdata2" ref="A4:W93">
      <sortCondition ref="A3"/>
    </sortState>
  </autoFilter>
  <mergeCells count="1">
    <mergeCell ref="A2:P2"/>
  </mergeCells>
  <hyperlinks>
    <hyperlink ref="A1" location="Index!A1" display="&lt; Back to Index &gt;" xr:uid="{00000000-0004-0000-0C00-000000000000}"/>
    <hyperlink ref="V1" location="'Ave weight 1996-2013'!A1" display="Ave weight 1996-2013" xr:uid="{00000000-0004-0000-0C00-000001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62"/>
  <sheetViews>
    <sheetView zoomScale="90" zoomScaleNormal="90" workbookViewId="0">
      <pane xSplit="1" ySplit="3" topLeftCell="G25" activePane="bottomRight" state="frozen"/>
      <selection pane="topRight" activeCell="B1" sqref="B1"/>
      <selection pane="bottomLeft" activeCell="A4" sqref="A4"/>
      <selection pane="bottomRight" activeCell="U61" sqref="U61"/>
    </sheetView>
  </sheetViews>
  <sheetFormatPr defaultColWidth="9.140625" defaultRowHeight="11.25"/>
  <cols>
    <col min="1" max="1" width="33.7109375" style="376" customWidth="1"/>
    <col min="2" max="5" width="11.42578125" style="289" customWidth="1"/>
    <col min="6" max="6" width="11.85546875" style="289" customWidth="1"/>
    <col min="7" max="7" width="12" style="289" customWidth="1"/>
    <col min="8" max="8" width="12.140625" style="289" customWidth="1"/>
    <col min="9" max="9" width="11.7109375" style="289" customWidth="1"/>
    <col min="10" max="10" width="11.42578125" style="289" customWidth="1"/>
    <col min="11" max="11" width="12.7109375" style="289" customWidth="1"/>
    <col min="12" max="12" width="13" style="290" customWidth="1"/>
    <col min="13" max="13" width="12.85546875" style="289" customWidth="1"/>
    <col min="14" max="16" width="11.42578125" style="289" customWidth="1"/>
    <col min="17" max="19" width="9.140625" style="289"/>
    <col min="20" max="20" width="13" style="289" bestFit="1" customWidth="1"/>
    <col min="21" max="16384" width="9.140625" style="289"/>
  </cols>
  <sheetData>
    <row r="1" spans="1:23" ht="12.75">
      <c r="A1" s="288" t="s">
        <v>286</v>
      </c>
      <c r="W1" s="523" t="s">
        <v>304</v>
      </c>
    </row>
    <row r="2" spans="1:23">
      <c r="A2" s="738" t="s">
        <v>239</v>
      </c>
      <c r="B2" s="738"/>
      <c r="C2" s="738"/>
      <c r="D2" s="738"/>
      <c r="E2" s="738"/>
      <c r="F2" s="738"/>
      <c r="G2" s="738"/>
      <c r="H2" s="738"/>
      <c r="I2" s="738"/>
      <c r="J2" s="738"/>
      <c r="K2" s="738"/>
      <c r="L2" s="738"/>
      <c r="M2" s="738"/>
      <c r="N2" s="738"/>
      <c r="O2" s="738"/>
      <c r="P2" s="738"/>
    </row>
    <row r="3" spans="1:23" s="152" customFormat="1" ht="41.25" customHeight="1">
      <c r="A3" s="454" t="s">
        <v>94</v>
      </c>
      <c r="B3" s="455" t="s">
        <v>0</v>
      </c>
      <c r="C3" s="455" t="s">
        <v>1</v>
      </c>
      <c r="D3" s="455" t="s">
        <v>2</v>
      </c>
      <c r="E3" s="455" t="s">
        <v>3</v>
      </c>
      <c r="F3" s="455" t="s">
        <v>4</v>
      </c>
      <c r="G3" s="455" t="s">
        <v>95</v>
      </c>
      <c r="H3" s="456" t="s">
        <v>11</v>
      </c>
      <c r="I3" s="455" t="s">
        <v>5</v>
      </c>
      <c r="J3" s="455" t="s">
        <v>6</v>
      </c>
      <c r="K3" s="455" t="s">
        <v>7</v>
      </c>
      <c r="L3" s="457" t="s">
        <v>96</v>
      </c>
      <c r="M3" s="456" t="s">
        <v>12</v>
      </c>
      <c r="N3" s="455" t="s">
        <v>8</v>
      </c>
      <c r="O3" s="455" t="s">
        <v>9</v>
      </c>
      <c r="P3" s="458" t="s">
        <v>10</v>
      </c>
      <c r="Q3" s="446" t="s">
        <v>86</v>
      </c>
      <c r="R3" s="446" t="s">
        <v>87</v>
      </c>
      <c r="S3" s="446" t="s">
        <v>88</v>
      </c>
      <c r="T3" s="446" t="s">
        <v>89</v>
      </c>
      <c r="U3" s="446" t="s">
        <v>90</v>
      </c>
      <c r="V3" s="446" t="s">
        <v>91</v>
      </c>
      <c r="W3" s="459" t="s">
        <v>227</v>
      </c>
    </row>
    <row r="4" spans="1:23">
      <c r="A4" s="143" t="s">
        <v>62</v>
      </c>
      <c r="B4" s="143">
        <v>144</v>
      </c>
      <c r="C4" s="143">
        <v>11</v>
      </c>
      <c r="D4" s="143">
        <v>36</v>
      </c>
      <c r="E4" s="143">
        <v>750</v>
      </c>
      <c r="F4" s="143">
        <v>862</v>
      </c>
      <c r="G4" s="143">
        <v>2</v>
      </c>
      <c r="H4" s="249">
        <f>SUM(B4:G4)</f>
        <v>1805</v>
      </c>
      <c r="I4" s="142">
        <v>8510</v>
      </c>
      <c r="J4" s="143">
        <v>59</v>
      </c>
      <c r="K4" s="143">
        <v>107</v>
      </c>
      <c r="L4" s="292">
        <v>49</v>
      </c>
      <c r="M4" s="249">
        <f>SUM(I4:L4)</f>
        <v>8725</v>
      </c>
      <c r="N4" s="143">
        <v>0</v>
      </c>
      <c r="O4" s="143">
        <v>343</v>
      </c>
      <c r="P4" s="254">
        <f>H4+M4+N4+O4</f>
        <v>10873</v>
      </c>
      <c r="Q4" s="289">
        <f>B4+D4</f>
        <v>180</v>
      </c>
      <c r="R4" s="289">
        <f>C4+E4+F4+G4</f>
        <v>1625</v>
      </c>
      <c r="S4" s="293">
        <f>SUM(M4:O4)</f>
        <v>9068</v>
      </c>
      <c r="T4" s="289">
        <f>(10*Q4)+(3*R4)+S4</f>
        <v>15743</v>
      </c>
      <c r="U4" s="276">
        <f>T4/($T$43+$T$60)</f>
        <v>1.0834981738018879E-2</v>
      </c>
      <c r="V4" s="289">
        <f>SUM(Q4:S4)</f>
        <v>10873</v>
      </c>
      <c r="W4" s="293">
        <f>P4-V4</f>
        <v>0</v>
      </c>
    </row>
    <row r="5" spans="1:23">
      <c r="A5" s="143" t="s">
        <v>84</v>
      </c>
      <c r="B5" s="142">
        <v>1564</v>
      </c>
      <c r="C5" s="143">
        <v>12</v>
      </c>
      <c r="D5" s="143">
        <v>87</v>
      </c>
      <c r="E5" s="142">
        <v>1164</v>
      </c>
      <c r="F5" s="143">
        <v>754</v>
      </c>
      <c r="G5" s="143">
        <v>6</v>
      </c>
      <c r="H5" s="249">
        <f t="shared" ref="H5:H42" si="0">SUM(B5:G5)</f>
        <v>3587</v>
      </c>
      <c r="I5" s="142">
        <v>7479</v>
      </c>
      <c r="J5" s="143">
        <v>6</v>
      </c>
      <c r="K5" s="143">
        <v>30</v>
      </c>
      <c r="L5" s="292">
        <v>19</v>
      </c>
      <c r="M5" s="249">
        <f t="shared" ref="M5:M42" si="1">SUM(I5:L5)</f>
        <v>7534</v>
      </c>
      <c r="N5" s="143">
        <v>0</v>
      </c>
      <c r="O5" s="143">
        <v>190</v>
      </c>
      <c r="P5" s="254">
        <f t="shared" ref="P5:P42" si="2">H5+M5+N5+O5</f>
        <v>11311</v>
      </c>
      <c r="Q5" s="289">
        <f t="shared" ref="Q5:Q42" si="3">B5+D5</f>
        <v>1651</v>
      </c>
      <c r="R5" s="289">
        <f t="shared" ref="R5:R42" si="4">C5+E5+F5+G5</f>
        <v>1936</v>
      </c>
      <c r="S5" s="293">
        <f t="shared" ref="S5:S42" si="5">SUM(M5:O5)</f>
        <v>7724</v>
      </c>
      <c r="T5" s="289">
        <f>(10*Q5)+(3*R5)+S5</f>
        <v>30042</v>
      </c>
      <c r="U5" s="276">
        <f t="shared" ref="U5:U42" si="6">T5/($T$43+$T$60)</f>
        <v>2.0676143134952876E-2</v>
      </c>
      <c r="V5" s="289">
        <f t="shared" ref="V5:V42" si="7">SUM(Q5:S5)</f>
        <v>11311</v>
      </c>
      <c r="W5" s="293">
        <f t="shared" ref="W5:W42" si="8">P5-V5</f>
        <v>0</v>
      </c>
    </row>
    <row r="6" spans="1:23">
      <c r="A6" s="143" t="s">
        <v>35</v>
      </c>
      <c r="B6" s="143">
        <v>68</v>
      </c>
      <c r="C6" s="143">
        <v>20</v>
      </c>
      <c r="D6" s="143">
        <v>4</v>
      </c>
      <c r="E6" s="143">
        <v>972</v>
      </c>
      <c r="F6" s="143">
        <v>206</v>
      </c>
      <c r="G6" s="143">
        <v>0</v>
      </c>
      <c r="H6" s="249">
        <f t="shared" si="0"/>
        <v>1270</v>
      </c>
      <c r="I6" s="142">
        <v>2568</v>
      </c>
      <c r="J6" s="143">
        <v>4</v>
      </c>
      <c r="K6" s="143">
        <v>4</v>
      </c>
      <c r="L6" s="292">
        <v>0</v>
      </c>
      <c r="M6" s="249">
        <f t="shared" si="1"/>
        <v>2576</v>
      </c>
      <c r="N6" s="143">
        <v>24</v>
      </c>
      <c r="O6" s="143">
        <v>554</v>
      </c>
      <c r="P6" s="254">
        <f t="shared" si="2"/>
        <v>4424</v>
      </c>
      <c r="Q6" s="289">
        <f t="shared" si="3"/>
        <v>72</v>
      </c>
      <c r="R6" s="289">
        <f t="shared" si="4"/>
        <v>1198</v>
      </c>
      <c r="S6" s="293">
        <f t="shared" si="5"/>
        <v>3154</v>
      </c>
      <c r="T6" s="289">
        <f t="shared" ref="T6:T41" si="9">(10*Q6)+(3*R6)+S6</f>
        <v>7468</v>
      </c>
      <c r="U6" s="276">
        <f t="shared" si="6"/>
        <v>5.1397855313170919E-3</v>
      </c>
      <c r="V6" s="289">
        <f t="shared" si="7"/>
        <v>4424</v>
      </c>
      <c r="W6" s="293">
        <f t="shared" si="8"/>
        <v>0</v>
      </c>
    </row>
    <row r="7" spans="1:23">
      <c r="A7" s="143" t="s">
        <v>36</v>
      </c>
      <c r="B7" s="143">
        <v>138</v>
      </c>
      <c r="C7" s="143">
        <v>25</v>
      </c>
      <c r="D7" s="143">
        <v>38</v>
      </c>
      <c r="E7" s="142">
        <v>4464</v>
      </c>
      <c r="F7" s="143">
        <v>835</v>
      </c>
      <c r="G7" s="143">
        <v>21</v>
      </c>
      <c r="H7" s="249">
        <f t="shared" si="0"/>
        <v>5521</v>
      </c>
      <c r="I7" s="142">
        <v>8120</v>
      </c>
      <c r="J7" s="143">
        <v>32</v>
      </c>
      <c r="K7" s="143">
        <v>117</v>
      </c>
      <c r="L7" s="292">
        <v>48</v>
      </c>
      <c r="M7" s="249">
        <f t="shared" si="1"/>
        <v>8317</v>
      </c>
      <c r="N7" s="143">
        <v>538</v>
      </c>
      <c r="O7" s="143">
        <v>58</v>
      </c>
      <c r="P7" s="254">
        <f t="shared" si="2"/>
        <v>14434</v>
      </c>
      <c r="Q7" s="289">
        <f t="shared" si="3"/>
        <v>176</v>
      </c>
      <c r="R7" s="289">
        <f t="shared" si="4"/>
        <v>5345</v>
      </c>
      <c r="S7" s="293">
        <f t="shared" si="5"/>
        <v>8913</v>
      </c>
      <c r="T7" s="289">
        <f t="shared" si="9"/>
        <v>26708</v>
      </c>
      <c r="U7" s="276">
        <f t="shared" si="6"/>
        <v>1.8381546862669643E-2</v>
      </c>
      <c r="V7" s="289">
        <f t="shared" si="7"/>
        <v>14434</v>
      </c>
      <c r="W7" s="293">
        <f t="shared" si="8"/>
        <v>0</v>
      </c>
    </row>
    <row r="8" spans="1:23">
      <c r="A8" s="143" t="s">
        <v>57</v>
      </c>
      <c r="B8" s="143">
        <v>126</v>
      </c>
      <c r="C8" s="143">
        <v>7</v>
      </c>
      <c r="D8" s="143">
        <v>19</v>
      </c>
      <c r="E8" s="143">
        <v>162</v>
      </c>
      <c r="F8" s="143">
        <v>225</v>
      </c>
      <c r="G8" s="143">
        <v>1</v>
      </c>
      <c r="H8" s="249">
        <f t="shared" si="0"/>
        <v>540</v>
      </c>
      <c r="I8" s="142">
        <v>2561</v>
      </c>
      <c r="J8" s="143">
        <v>12</v>
      </c>
      <c r="K8" s="143">
        <v>8</v>
      </c>
      <c r="L8" s="292">
        <v>20</v>
      </c>
      <c r="M8" s="249">
        <f t="shared" si="1"/>
        <v>2601</v>
      </c>
      <c r="N8" s="143">
        <v>307</v>
      </c>
      <c r="O8" s="143">
        <v>4</v>
      </c>
      <c r="P8" s="254">
        <f t="shared" si="2"/>
        <v>3452</v>
      </c>
      <c r="Q8" s="289">
        <f t="shared" si="3"/>
        <v>145</v>
      </c>
      <c r="R8" s="289">
        <f t="shared" si="4"/>
        <v>395</v>
      </c>
      <c r="S8" s="293">
        <f t="shared" si="5"/>
        <v>2912</v>
      </c>
      <c r="T8" s="289">
        <f t="shared" si="9"/>
        <v>5547</v>
      </c>
      <c r="U8" s="276">
        <f t="shared" si="6"/>
        <v>3.817674121882152E-3</v>
      </c>
      <c r="V8" s="289">
        <f t="shared" si="7"/>
        <v>3452</v>
      </c>
      <c r="W8" s="293">
        <f t="shared" si="8"/>
        <v>0</v>
      </c>
    </row>
    <row r="9" spans="1:23">
      <c r="A9" s="143" t="s">
        <v>14</v>
      </c>
      <c r="B9" s="143">
        <v>260</v>
      </c>
      <c r="C9" s="143">
        <v>32</v>
      </c>
      <c r="D9" s="143">
        <v>16</v>
      </c>
      <c r="E9" s="142">
        <v>1709</v>
      </c>
      <c r="F9" s="142">
        <v>1010</v>
      </c>
      <c r="G9" s="143">
        <v>0</v>
      </c>
      <c r="H9" s="249">
        <f t="shared" si="0"/>
        <v>3027</v>
      </c>
      <c r="I9" s="142">
        <v>13069</v>
      </c>
      <c r="J9" s="142">
        <v>1926</v>
      </c>
      <c r="K9" s="143">
        <v>20</v>
      </c>
      <c r="L9" s="292">
        <v>55</v>
      </c>
      <c r="M9" s="249">
        <f t="shared" si="1"/>
        <v>15070</v>
      </c>
      <c r="N9" s="143">
        <v>147</v>
      </c>
      <c r="O9" s="143">
        <v>153</v>
      </c>
      <c r="P9" s="254">
        <f t="shared" si="2"/>
        <v>18397</v>
      </c>
      <c r="Q9" s="289">
        <f t="shared" si="3"/>
        <v>276</v>
      </c>
      <c r="R9" s="289">
        <f t="shared" si="4"/>
        <v>2751</v>
      </c>
      <c r="S9" s="293">
        <f t="shared" si="5"/>
        <v>15370</v>
      </c>
      <c r="T9" s="289">
        <f t="shared" si="9"/>
        <v>26383</v>
      </c>
      <c r="U9" s="276">
        <f t="shared" si="6"/>
        <v>1.8157868461802201E-2</v>
      </c>
      <c r="V9" s="289">
        <f t="shared" si="7"/>
        <v>18397</v>
      </c>
      <c r="W9" s="293">
        <f t="shared" si="8"/>
        <v>0</v>
      </c>
    </row>
    <row r="10" spans="1:23">
      <c r="A10" s="143" t="s">
        <v>44</v>
      </c>
      <c r="B10" s="143">
        <v>849</v>
      </c>
      <c r="C10" s="143">
        <v>0</v>
      </c>
      <c r="D10" s="143">
        <v>150</v>
      </c>
      <c r="E10" s="142">
        <v>2437</v>
      </c>
      <c r="F10" s="142">
        <v>1024</v>
      </c>
      <c r="G10" s="143">
        <v>9</v>
      </c>
      <c r="H10" s="249">
        <f t="shared" si="0"/>
        <v>4469</v>
      </c>
      <c r="I10" s="142">
        <v>22666</v>
      </c>
      <c r="J10" s="143">
        <v>233</v>
      </c>
      <c r="K10" s="143">
        <v>162</v>
      </c>
      <c r="L10" s="292">
        <v>18</v>
      </c>
      <c r="M10" s="249">
        <f t="shared" si="1"/>
        <v>23079</v>
      </c>
      <c r="N10" s="143">
        <v>144</v>
      </c>
      <c r="O10" s="143">
        <v>392</v>
      </c>
      <c r="P10" s="254">
        <f t="shared" si="2"/>
        <v>28084</v>
      </c>
      <c r="Q10" s="289">
        <f t="shared" si="3"/>
        <v>999</v>
      </c>
      <c r="R10" s="289">
        <f t="shared" si="4"/>
        <v>3470</v>
      </c>
      <c r="S10" s="293">
        <f t="shared" si="5"/>
        <v>23615</v>
      </c>
      <c r="T10" s="289">
        <f t="shared" si="9"/>
        <v>44015</v>
      </c>
      <c r="U10" s="276">
        <f t="shared" si="6"/>
        <v>3.0292937889785997E-2</v>
      </c>
      <c r="V10" s="289">
        <f t="shared" si="7"/>
        <v>28084</v>
      </c>
      <c r="W10" s="293">
        <f t="shared" si="8"/>
        <v>0</v>
      </c>
    </row>
    <row r="11" spans="1:23">
      <c r="A11" s="143" t="s">
        <v>63</v>
      </c>
      <c r="B11" s="143">
        <v>575</v>
      </c>
      <c r="C11" s="143">
        <v>4</v>
      </c>
      <c r="D11" s="143">
        <v>40</v>
      </c>
      <c r="E11" s="142">
        <v>2353</v>
      </c>
      <c r="F11" s="143">
        <v>953</v>
      </c>
      <c r="G11" s="143">
        <v>14</v>
      </c>
      <c r="H11" s="249">
        <f t="shared" si="0"/>
        <v>3939</v>
      </c>
      <c r="I11" s="142">
        <v>18996</v>
      </c>
      <c r="J11" s="143">
        <v>18</v>
      </c>
      <c r="K11" s="143">
        <v>45</v>
      </c>
      <c r="L11" s="292">
        <v>43</v>
      </c>
      <c r="M11" s="249">
        <f t="shared" si="1"/>
        <v>19102</v>
      </c>
      <c r="N11" s="143">
        <v>0</v>
      </c>
      <c r="O11" s="143">
        <v>183</v>
      </c>
      <c r="P11" s="254">
        <f t="shared" si="2"/>
        <v>23224</v>
      </c>
      <c r="Q11" s="289">
        <f t="shared" si="3"/>
        <v>615</v>
      </c>
      <c r="R11" s="289">
        <f t="shared" si="4"/>
        <v>3324</v>
      </c>
      <c r="S11" s="293">
        <f t="shared" si="5"/>
        <v>19285</v>
      </c>
      <c r="T11" s="289">
        <f t="shared" si="9"/>
        <v>35407</v>
      </c>
      <c r="U11" s="276">
        <f t="shared" si="6"/>
        <v>2.4368557352349263E-2</v>
      </c>
      <c r="V11" s="289">
        <f t="shared" si="7"/>
        <v>23224</v>
      </c>
      <c r="W11" s="293">
        <f t="shared" si="8"/>
        <v>0</v>
      </c>
    </row>
    <row r="12" spans="1:23">
      <c r="A12" s="143" t="s">
        <v>45</v>
      </c>
      <c r="B12" s="143">
        <v>255</v>
      </c>
      <c r="C12" s="143">
        <v>48</v>
      </c>
      <c r="D12" s="143">
        <v>80</v>
      </c>
      <c r="E12" s="142">
        <v>1398</v>
      </c>
      <c r="F12" s="142">
        <v>1014</v>
      </c>
      <c r="G12" s="143">
        <v>10</v>
      </c>
      <c r="H12" s="249">
        <f t="shared" si="0"/>
        <v>2805</v>
      </c>
      <c r="I12" s="142">
        <v>11607</v>
      </c>
      <c r="J12" s="143">
        <v>26</v>
      </c>
      <c r="K12" s="143">
        <v>56</v>
      </c>
      <c r="L12" s="292">
        <v>51</v>
      </c>
      <c r="M12" s="249">
        <f t="shared" si="1"/>
        <v>11740</v>
      </c>
      <c r="N12" s="143">
        <v>315</v>
      </c>
      <c r="O12" s="143">
        <v>5</v>
      </c>
      <c r="P12" s="254">
        <f t="shared" si="2"/>
        <v>14865</v>
      </c>
      <c r="Q12" s="289">
        <f t="shared" si="3"/>
        <v>335</v>
      </c>
      <c r="R12" s="289">
        <f t="shared" si="4"/>
        <v>2470</v>
      </c>
      <c r="S12" s="293">
        <f t="shared" si="5"/>
        <v>12060</v>
      </c>
      <c r="T12" s="289">
        <f t="shared" si="9"/>
        <v>22820</v>
      </c>
      <c r="U12" s="276">
        <f t="shared" si="6"/>
        <v>1.5705664947061604E-2</v>
      </c>
      <c r="V12" s="289">
        <f t="shared" si="7"/>
        <v>14865</v>
      </c>
      <c r="W12" s="293">
        <f t="shared" si="8"/>
        <v>0</v>
      </c>
    </row>
    <row r="13" spans="1:23">
      <c r="A13" s="143" t="s">
        <v>74</v>
      </c>
      <c r="B13" s="143">
        <v>507</v>
      </c>
      <c r="C13" s="143">
        <v>26</v>
      </c>
      <c r="D13" s="143">
        <v>50</v>
      </c>
      <c r="E13" s="142">
        <v>1188</v>
      </c>
      <c r="F13" s="143">
        <v>404</v>
      </c>
      <c r="G13" s="143">
        <v>5</v>
      </c>
      <c r="H13" s="249">
        <f t="shared" si="0"/>
        <v>2180</v>
      </c>
      <c r="I13" s="142">
        <v>8898</v>
      </c>
      <c r="J13" s="143">
        <v>0</v>
      </c>
      <c r="K13" s="143">
        <v>232</v>
      </c>
      <c r="L13" s="292">
        <v>111</v>
      </c>
      <c r="M13" s="249">
        <f t="shared" si="1"/>
        <v>9241</v>
      </c>
      <c r="N13" s="143">
        <v>0</v>
      </c>
      <c r="O13" s="143">
        <v>46</v>
      </c>
      <c r="P13" s="254">
        <f t="shared" si="2"/>
        <v>11467</v>
      </c>
      <c r="Q13" s="289">
        <f t="shared" si="3"/>
        <v>557</v>
      </c>
      <c r="R13" s="289">
        <f t="shared" si="4"/>
        <v>1623</v>
      </c>
      <c r="S13" s="293">
        <f t="shared" si="5"/>
        <v>9287</v>
      </c>
      <c r="T13" s="289">
        <f t="shared" si="9"/>
        <v>19726</v>
      </c>
      <c r="U13" s="276">
        <f t="shared" si="6"/>
        <v>1.3576246570803557E-2</v>
      </c>
      <c r="V13" s="289">
        <f t="shared" si="7"/>
        <v>11467</v>
      </c>
      <c r="W13" s="293">
        <f t="shared" si="8"/>
        <v>0</v>
      </c>
    </row>
    <row r="14" spans="1:23">
      <c r="A14" s="143" t="s">
        <v>37</v>
      </c>
      <c r="B14" s="143">
        <v>865</v>
      </c>
      <c r="C14" s="143">
        <v>17</v>
      </c>
      <c r="D14" s="143">
        <v>91</v>
      </c>
      <c r="E14" s="142">
        <v>2697</v>
      </c>
      <c r="F14" s="143">
        <v>701</v>
      </c>
      <c r="G14" s="143">
        <v>7</v>
      </c>
      <c r="H14" s="249">
        <f t="shared" si="0"/>
        <v>4378</v>
      </c>
      <c r="I14" s="142">
        <v>21771</v>
      </c>
      <c r="J14" s="143">
        <v>0</v>
      </c>
      <c r="K14" s="143">
        <v>38</v>
      </c>
      <c r="L14" s="292">
        <v>20</v>
      </c>
      <c r="M14" s="249">
        <f t="shared" si="1"/>
        <v>21829</v>
      </c>
      <c r="N14" s="143">
        <v>17</v>
      </c>
      <c r="O14" s="143">
        <v>469</v>
      </c>
      <c r="P14" s="254">
        <f t="shared" si="2"/>
        <v>26693</v>
      </c>
      <c r="Q14" s="289">
        <f t="shared" si="3"/>
        <v>956</v>
      </c>
      <c r="R14" s="289">
        <f t="shared" si="4"/>
        <v>3422</v>
      </c>
      <c r="S14" s="293">
        <f t="shared" si="5"/>
        <v>22315</v>
      </c>
      <c r="T14" s="289">
        <f t="shared" si="9"/>
        <v>42141</v>
      </c>
      <c r="U14" s="276">
        <f t="shared" si="6"/>
        <v>2.9003173818322656E-2</v>
      </c>
      <c r="V14" s="289">
        <f t="shared" si="7"/>
        <v>26693</v>
      </c>
      <c r="W14" s="293">
        <f t="shared" si="8"/>
        <v>0</v>
      </c>
    </row>
    <row r="15" spans="1:23" ht="13.5" customHeight="1">
      <c r="A15" s="143" t="s">
        <v>38</v>
      </c>
      <c r="B15" s="143">
        <v>436</v>
      </c>
      <c r="C15" s="143">
        <v>29</v>
      </c>
      <c r="D15" s="143">
        <v>72</v>
      </c>
      <c r="E15" s="142">
        <v>1145</v>
      </c>
      <c r="F15" s="143">
        <v>370</v>
      </c>
      <c r="G15" s="143">
        <v>10</v>
      </c>
      <c r="H15" s="249">
        <f t="shared" si="0"/>
        <v>2062</v>
      </c>
      <c r="I15" s="142">
        <v>8806</v>
      </c>
      <c r="J15" s="143">
        <v>0</v>
      </c>
      <c r="K15" s="143">
        <v>50</v>
      </c>
      <c r="L15" s="292">
        <v>13</v>
      </c>
      <c r="M15" s="249">
        <f t="shared" si="1"/>
        <v>8869</v>
      </c>
      <c r="N15" s="143">
        <v>43</v>
      </c>
      <c r="O15" s="143">
        <v>276</v>
      </c>
      <c r="P15" s="254">
        <f t="shared" si="2"/>
        <v>11250</v>
      </c>
      <c r="Q15" s="289">
        <f t="shared" si="3"/>
        <v>508</v>
      </c>
      <c r="R15" s="289">
        <f t="shared" si="4"/>
        <v>1554</v>
      </c>
      <c r="S15" s="293">
        <f t="shared" si="5"/>
        <v>9188</v>
      </c>
      <c r="T15" s="289">
        <f t="shared" si="9"/>
        <v>18930</v>
      </c>
      <c r="U15" s="276">
        <f t="shared" si="6"/>
        <v>1.3028406548986684E-2</v>
      </c>
      <c r="V15" s="289">
        <f t="shared" si="7"/>
        <v>11250</v>
      </c>
      <c r="W15" s="293">
        <f t="shared" si="8"/>
        <v>0</v>
      </c>
    </row>
    <row r="16" spans="1:23">
      <c r="A16" s="143" t="s">
        <v>26</v>
      </c>
      <c r="B16" s="143">
        <v>720</v>
      </c>
      <c r="C16" s="143">
        <v>6</v>
      </c>
      <c r="D16" s="143">
        <v>121</v>
      </c>
      <c r="E16" s="142">
        <v>2347</v>
      </c>
      <c r="F16" s="142">
        <v>1475</v>
      </c>
      <c r="G16" s="143">
        <v>11</v>
      </c>
      <c r="H16" s="249">
        <f t="shared" si="0"/>
        <v>4680</v>
      </c>
      <c r="I16" s="142">
        <v>17110</v>
      </c>
      <c r="J16" s="143">
        <v>0</v>
      </c>
      <c r="K16" s="143">
        <v>25</v>
      </c>
      <c r="L16" s="292">
        <v>95</v>
      </c>
      <c r="M16" s="249">
        <f t="shared" si="1"/>
        <v>17230</v>
      </c>
      <c r="N16" s="143">
        <v>1</v>
      </c>
      <c r="O16" s="143">
        <v>42</v>
      </c>
      <c r="P16" s="254">
        <f t="shared" si="2"/>
        <v>21953</v>
      </c>
      <c r="Q16" s="289">
        <f t="shared" si="3"/>
        <v>841</v>
      </c>
      <c r="R16" s="289">
        <f t="shared" si="4"/>
        <v>3839</v>
      </c>
      <c r="S16" s="293">
        <f t="shared" si="5"/>
        <v>17273</v>
      </c>
      <c r="T16" s="289">
        <f t="shared" si="9"/>
        <v>37200</v>
      </c>
      <c r="U16" s="276">
        <f t="shared" si="6"/>
        <v>2.5602573883904103E-2</v>
      </c>
      <c r="V16" s="289">
        <f t="shared" si="7"/>
        <v>21953</v>
      </c>
      <c r="W16" s="293">
        <f t="shared" si="8"/>
        <v>0</v>
      </c>
    </row>
    <row r="17" spans="1:23">
      <c r="A17" s="143" t="s">
        <v>15</v>
      </c>
      <c r="B17" s="143">
        <v>933</v>
      </c>
      <c r="C17" s="143">
        <v>0</v>
      </c>
      <c r="D17" s="143">
        <v>94</v>
      </c>
      <c r="E17" s="142">
        <v>3970</v>
      </c>
      <c r="F17" s="142">
        <v>1058</v>
      </c>
      <c r="G17" s="143">
        <v>2</v>
      </c>
      <c r="H17" s="249">
        <f t="shared" si="0"/>
        <v>6057</v>
      </c>
      <c r="I17" s="142">
        <v>14382</v>
      </c>
      <c r="J17" s="143">
        <v>0</v>
      </c>
      <c r="K17" s="143">
        <v>72</v>
      </c>
      <c r="L17" s="292">
        <v>20</v>
      </c>
      <c r="M17" s="249">
        <f t="shared" si="1"/>
        <v>14474</v>
      </c>
      <c r="N17" s="143">
        <v>0</v>
      </c>
      <c r="O17" s="143">
        <v>877</v>
      </c>
      <c r="P17" s="254">
        <f t="shared" si="2"/>
        <v>21408</v>
      </c>
      <c r="Q17" s="289">
        <f t="shared" si="3"/>
        <v>1027</v>
      </c>
      <c r="R17" s="289">
        <f t="shared" si="4"/>
        <v>5030</v>
      </c>
      <c r="S17" s="293">
        <f t="shared" si="5"/>
        <v>15351</v>
      </c>
      <c r="T17" s="289">
        <f t="shared" si="9"/>
        <v>40711</v>
      </c>
      <c r="U17" s="276">
        <f t="shared" si="6"/>
        <v>2.8018988854505912E-2</v>
      </c>
      <c r="V17" s="289">
        <f t="shared" si="7"/>
        <v>21408</v>
      </c>
      <c r="W17" s="293">
        <f t="shared" si="8"/>
        <v>0</v>
      </c>
    </row>
    <row r="18" spans="1:23">
      <c r="A18" s="143" t="s">
        <v>28</v>
      </c>
      <c r="B18" s="142">
        <v>1827</v>
      </c>
      <c r="C18" s="143">
        <v>0</v>
      </c>
      <c r="D18" s="143">
        <v>452</v>
      </c>
      <c r="E18" s="142">
        <v>4790</v>
      </c>
      <c r="F18" s="142">
        <v>1715</v>
      </c>
      <c r="G18" s="143">
        <v>17</v>
      </c>
      <c r="H18" s="249">
        <f t="shared" si="0"/>
        <v>8801</v>
      </c>
      <c r="I18" s="142">
        <v>32220</v>
      </c>
      <c r="J18" s="143">
        <v>24</v>
      </c>
      <c r="K18" s="143">
        <v>227</v>
      </c>
      <c r="L18" s="292">
        <v>75</v>
      </c>
      <c r="M18" s="249">
        <f t="shared" si="1"/>
        <v>32546</v>
      </c>
      <c r="N18" s="143">
        <v>0</v>
      </c>
      <c r="O18" s="143">
        <v>320</v>
      </c>
      <c r="P18" s="254">
        <f t="shared" si="2"/>
        <v>41667</v>
      </c>
      <c r="Q18" s="289">
        <f t="shared" si="3"/>
        <v>2279</v>
      </c>
      <c r="R18" s="289">
        <f t="shared" si="4"/>
        <v>6522</v>
      </c>
      <c r="S18" s="293">
        <f t="shared" si="5"/>
        <v>32866</v>
      </c>
      <c r="T18" s="289">
        <f t="shared" si="9"/>
        <v>75222</v>
      </c>
      <c r="U18" s="276">
        <f t="shared" si="6"/>
        <v>5.1770882061694473E-2</v>
      </c>
      <c r="V18" s="289">
        <f t="shared" si="7"/>
        <v>41667</v>
      </c>
      <c r="W18" s="293">
        <f t="shared" si="8"/>
        <v>0</v>
      </c>
    </row>
    <row r="19" spans="1:23">
      <c r="A19" s="143" t="s">
        <v>46</v>
      </c>
      <c r="B19" s="143">
        <v>593</v>
      </c>
      <c r="C19" s="143">
        <v>12</v>
      </c>
      <c r="D19" s="143">
        <v>62</v>
      </c>
      <c r="E19" s="143">
        <v>442</v>
      </c>
      <c r="F19" s="143">
        <v>540</v>
      </c>
      <c r="G19" s="143">
        <v>11</v>
      </c>
      <c r="H19" s="249">
        <f t="shared" si="0"/>
        <v>1660</v>
      </c>
      <c r="I19" s="142">
        <v>8820</v>
      </c>
      <c r="J19" s="143">
        <v>0</v>
      </c>
      <c r="K19" s="143">
        <v>0</v>
      </c>
      <c r="L19" s="292">
        <v>20</v>
      </c>
      <c r="M19" s="249">
        <f t="shared" si="1"/>
        <v>8840</v>
      </c>
      <c r="N19" s="143">
        <v>60</v>
      </c>
      <c r="O19" s="143">
        <v>122</v>
      </c>
      <c r="P19" s="254">
        <f t="shared" si="2"/>
        <v>10682</v>
      </c>
      <c r="Q19" s="289">
        <f t="shared" si="3"/>
        <v>655</v>
      </c>
      <c r="R19" s="289">
        <f t="shared" si="4"/>
        <v>1005</v>
      </c>
      <c r="S19" s="293">
        <f t="shared" si="5"/>
        <v>9022</v>
      </c>
      <c r="T19" s="289">
        <f t="shared" si="9"/>
        <v>18587</v>
      </c>
      <c r="U19" s="276">
        <f t="shared" si="6"/>
        <v>1.2792339805917353E-2</v>
      </c>
      <c r="V19" s="289">
        <f t="shared" si="7"/>
        <v>10682</v>
      </c>
      <c r="W19" s="293">
        <f t="shared" si="8"/>
        <v>0</v>
      </c>
    </row>
    <row r="20" spans="1:23">
      <c r="A20" s="143" t="s">
        <v>39</v>
      </c>
      <c r="B20" s="143">
        <v>839</v>
      </c>
      <c r="C20" s="143">
        <v>17</v>
      </c>
      <c r="D20" s="143">
        <v>290</v>
      </c>
      <c r="E20" s="142">
        <v>1852</v>
      </c>
      <c r="F20" s="142">
        <v>1518</v>
      </c>
      <c r="G20" s="143">
        <v>5</v>
      </c>
      <c r="H20" s="249">
        <f t="shared" si="0"/>
        <v>4521</v>
      </c>
      <c r="I20" s="142">
        <v>23480</v>
      </c>
      <c r="J20" s="143">
        <v>0</v>
      </c>
      <c r="K20" s="143">
        <v>395</v>
      </c>
      <c r="L20" s="292">
        <v>38</v>
      </c>
      <c r="M20" s="249">
        <f t="shared" si="1"/>
        <v>23913</v>
      </c>
      <c r="N20" s="143">
        <v>0</v>
      </c>
      <c r="O20" s="143">
        <v>118</v>
      </c>
      <c r="P20" s="254">
        <f t="shared" si="2"/>
        <v>28552</v>
      </c>
      <c r="Q20" s="289">
        <f t="shared" si="3"/>
        <v>1129</v>
      </c>
      <c r="R20" s="289">
        <f t="shared" si="4"/>
        <v>3392</v>
      </c>
      <c r="S20" s="293">
        <f t="shared" si="5"/>
        <v>24031</v>
      </c>
      <c r="T20" s="289">
        <f t="shared" si="9"/>
        <v>45497</v>
      </c>
      <c r="U20" s="276">
        <f t="shared" si="6"/>
        <v>3.1312911397741533E-2</v>
      </c>
      <c r="V20" s="289">
        <f t="shared" si="7"/>
        <v>28552</v>
      </c>
      <c r="W20" s="293">
        <f t="shared" si="8"/>
        <v>0</v>
      </c>
    </row>
    <row r="21" spans="1:23">
      <c r="A21" s="143" t="s">
        <v>29</v>
      </c>
      <c r="B21" s="143">
        <v>801</v>
      </c>
      <c r="C21" s="143">
        <v>12</v>
      </c>
      <c r="D21" s="143">
        <v>263</v>
      </c>
      <c r="E21" s="142">
        <v>3480</v>
      </c>
      <c r="F21" s="142">
        <v>1103</v>
      </c>
      <c r="G21" s="143">
        <v>4</v>
      </c>
      <c r="H21" s="249">
        <f t="shared" si="0"/>
        <v>5663</v>
      </c>
      <c r="I21" s="142">
        <v>25587</v>
      </c>
      <c r="J21" s="143">
        <v>121</v>
      </c>
      <c r="K21" s="143">
        <v>495</v>
      </c>
      <c r="L21" s="292">
        <v>18</v>
      </c>
      <c r="M21" s="249">
        <f t="shared" si="1"/>
        <v>26221</v>
      </c>
      <c r="N21" s="143">
        <v>0</v>
      </c>
      <c r="O21" s="143">
        <v>118</v>
      </c>
      <c r="P21" s="254">
        <f t="shared" si="2"/>
        <v>32002</v>
      </c>
      <c r="Q21" s="289">
        <f t="shared" si="3"/>
        <v>1064</v>
      </c>
      <c r="R21" s="289">
        <f t="shared" si="4"/>
        <v>4599</v>
      </c>
      <c r="S21" s="293">
        <f t="shared" si="5"/>
        <v>26339</v>
      </c>
      <c r="T21" s="289">
        <f t="shared" si="9"/>
        <v>50776</v>
      </c>
      <c r="U21" s="276">
        <f t="shared" si="6"/>
        <v>3.4946136869062221E-2</v>
      </c>
      <c r="V21" s="289">
        <f t="shared" si="7"/>
        <v>32002</v>
      </c>
      <c r="W21" s="293">
        <f t="shared" si="8"/>
        <v>0</v>
      </c>
    </row>
    <row r="22" spans="1:23">
      <c r="A22" s="143" t="s">
        <v>16</v>
      </c>
      <c r="B22" s="143">
        <v>293</v>
      </c>
      <c r="C22" s="143">
        <v>0</v>
      </c>
      <c r="D22" s="143">
        <v>24</v>
      </c>
      <c r="E22" s="143">
        <v>821</v>
      </c>
      <c r="F22" s="143">
        <v>199</v>
      </c>
      <c r="G22" s="143">
        <v>5</v>
      </c>
      <c r="H22" s="249">
        <f t="shared" si="0"/>
        <v>1342</v>
      </c>
      <c r="I22" s="142">
        <v>7176</v>
      </c>
      <c r="J22" s="143">
        <v>200</v>
      </c>
      <c r="K22" s="143">
        <v>0</v>
      </c>
      <c r="L22" s="292">
        <v>125</v>
      </c>
      <c r="M22" s="249">
        <f t="shared" si="1"/>
        <v>7501</v>
      </c>
      <c r="N22" s="143">
        <v>139</v>
      </c>
      <c r="O22" s="143">
        <v>25</v>
      </c>
      <c r="P22" s="254">
        <f t="shared" si="2"/>
        <v>9007</v>
      </c>
      <c r="Q22" s="289">
        <f t="shared" si="3"/>
        <v>317</v>
      </c>
      <c r="R22" s="289">
        <f t="shared" si="4"/>
        <v>1025</v>
      </c>
      <c r="S22" s="293">
        <f t="shared" si="5"/>
        <v>7665</v>
      </c>
      <c r="T22" s="289">
        <f t="shared" si="9"/>
        <v>13910</v>
      </c>
      <c r="U22" s="276">
        <f t="shared" si="6"/>
        <v>9.5734355571265063E-3</v>
      </c>
      <c r="V22" s="289">
        <f t="shared" si="7"/>
        <v>9007</v>
      </c>
      <c r="W22" s="293">
        <f t="shared" si="8"/>
        <v>0</v>
      </c>
    </row>
    <row r="23" spans="1:23">
      <c r="A23" s="143" t="s">
        <v>30</v>
      </c>
      <c r="B23" s="143">
        <v>429</v>
      </c>
      <c r="C23" s="143">
        <v>0</v>
      </c>
      <c r="D23" s="143">
        <v>47</v>
      </c>
      <c r="E23" s="142">
        <v>2068</v>
      </c>
      <c r="F23" s="143">
        <v>633</v>
      </c>
      <c r="G23" s="143">
        <v>1</v>
      </c>
      <c r="H23" s="249">
        <f t="shared" si="0"/>
        <v>3178</v>
      </c>
      <c r="I23" s="142">
        <v>9748</v>
      </c>
      <c r="J23" s="143">
        <v>0</v>
      </c>
      <c r="K23" s="143">
        <v>0</v>
      </c>
      <c r="L23" s="292">
        <v>3</v>
      </c>
      <c r="M23" s="249">
        <f t="shared" si="1"/>
        <v>9751</v>
      </c>
      <c r="N23" s="143">
        <v>0</v>
      </c>
      <c r="O23" s="143">
        <v>84</v>
      </c>
      <c r="P23" s="254">
        <f t="shared" si="2"/>
        <v>13013</v>
      </c>
      <c r="Q23" s="289">
        <f t="shared" si="3"/>
        <v>476</v>
      </c>
      <c r="R23" s="289">
        <f t="shared" si="4"/>
        <v>2702</v>
      </c>
      <c r="S23" s="293">
        <f t="shared" si="5"/>
        <v>9835</v>
      </c>
      <c r="T23" s="289">
        <f t="shared" si="9"/>
        <v>22701</v>
      </c>
      <c r="U23" s="276">
        <f t="shared" si="6"/>
        <v>1.5623764240282447E-2</v>
      </c>
      <c r="V23" s="289">
        <f t="shared" si="7"/>
        <v>13013</v>
      </c>
      <c r="W23" s="293">
        <f t="shared" si="8"/>
        <v>0</v>
      </c>
    </row>
    <row r="24" spans="1:23">
      <c r="A24" s="143" t="s">
        <v>75</v>
      </c>
      <c r="B24" s="142">
        <v>1178</v>
      </c>
      <c r="C24" s="143">
        <v>3</v>
      </c>
      <c r="D24" s="143">
        <v>115</v>
      </c>
      <c r="E24" s="142">
        <v>1610</v>
      </c>
      <c r="F24" s="143">
        <v>603</v>
      </c>
      <c r="G24" s="143">
        <v>10</v>
      </c>
      <c r="H24" s="249">
        <f t="shared" si="0"/>
        <v>3519</v>
      </c>
      <c r="I24" s="142">
        <v>12013</v>
      </c>
      <c r="J24" s="143">
        <v>0</v>
      </c>
      <c r="K24" s="143">
        <v>85</v>
      </c>
      <c r="L24" s="292">
        <v>65</v>
      </c>
      <c r="M24" s="249">
        <f t="shared" si="1"/>
        <v>12163</v>
      </c>
      <c r="N24" s="143">
        <v>29</v>
      </c>
      <c r="O24" s="143">
        <v>301</v>
      </c>
      <c r="P24" s="254">
        <f t="shared" si="2"/>
        <v>16012</v>
      </c>
      <c r="Q24" s="289">
        <f t="shared" si="3"/>
        <v>1293</v>
      </c>
      <c r="R24" s="289">
        <f t="shared" si="4"/>
        <v>2226</v>
      </c>
      <c r="S24" s="293">
        <f t="shared" si="5"/>
        <v>12493</v>
      </c>
      <c r="T24" s="289">
        <f t="shared" si="9"/>
        <v>32101</v>
      </c>
      <c r="U24" s="276">
        <f t="shared" si="6"/>
        <v>2.2093231834602302E-2</v>
      </c>
      <c r="V24" s="289">
        <f t="shared" si="7"/>
        <v>16012</v>
      </c>
      <c r="W24" s="293">
        <f t="shared" si="8"/>
        <v>0</v>
      </c>
    </row>
    <row r="25" spans="1:23">
      <c r="A25" s="143" t="s">
        <v>32</v>
      </c>
      <c r="B25" s="143">
        <v>122</v>
      </c>
      <c r="C25" s="143">
        <v>0</v>
      </c>
      <c r="D25" s="143">
        <v>19</v>
      </c>
      <c r="E25" s="142">
        <v>3572</v>
      </c>
      <c r="F25" s="143">
        <v>851</v>
      </c>
      <c r="G25" s="143">
        <v>1</v>
      </c>
      <c r="H25" s="249">
        <f t="shared" si="0"/>
        <v>4565</v>
      </c>
      <c r="I25" s="142">
        <v>4658</v>
      </c>
      <c r="J25" s="143">
        <v>0</v>
      </c>
      <c r="K25" s="143">
        <v>0</v>
      </c>
      <c r="L25" s="292">
        <v>1</v>
      </c>
      <c r="M25" s="249">
        <f t="shared" si="1"/>
        <v>4659</v>
      </c>
      <c r="N25" s="143">
        <v>30</v>
      </c>
      <c r="O25" s="143">
        <v>76</v>
      </c>
      <c r="P25" s="254">
        <f t="shared" si="2"/>
        <v>9330</v>
      </c>
      <c r="Q25" s="289">
        <f t="shared" si="3"/>
        <v>141</v>
      </c>
      <c r="R25" s="289">
        <f t="shared" si="4"/>
        <v>4424</v>
      </c>
      <c r="S25" s="293">
        <f t="shared" si="5"/>
        <v>4765</v>
      </c>
      <c r="T25" s="289">
        <f t="shared" si="9"/>
        <v>19447</v>
      </c>
      <c r="U25" s="276">
        <f t="shared" si="6"/>
        <v>1.3384227266674277E-2</v>
      </c>
      <c r="V25" s="289">
        <f t="shared" si="7"/>
        <v>9330</v>
      </c>
      <c r="W25" s="293">
        <f t="shared" si="8"/>
        <v>0</v>
      </c>
    </row>
    <row r="26" spans="1:23">
      <c r="A26" s="143" t="s">
        <v>60</v>
      </c>
      <c r="B26" s="143">
        <v>148</v>
      </c>
      <c r="C26" s="143">
        <v>1</v>
      </c>
      <c r="D26" s="143">
        <v>29</v>
      </c>
      <c r="E26" s="142">
        <v>1102</v>
      </c>
      <c r="F26" s="143">
        <v>411</v>
      </c>
      <c r="G26" s="143">
        <v>2</v>
      </c>
      <c r="H26" s="249">
        <f t="shared" si="0"/>
        <v>1693</v>
      </c>
      <c r="I26" s="142">
        <v>5492</v>
      </c>
      <c r="J26" s="143">
        <v>0</v>
      </c>
      <c r="K26" s="143">
        <v>74</v>
      </c>
      <c r="L26" s="292">
        <v>9</v>
      </c>
      <c r="M26" s="249">
        <f t="shared" si="1"/>
        <v>5575</v>
      </c>
      <c r="N26" s="143">
        <v>7</v>
      </c>
      <c r="O26" s="143">
        <v>51</v>
      </c>
      <c r="P26" s="254">
        <f t="shared" si="2"/>
        <v>7326</v>
      </c>
      <c r="Q26" s="289">
        <f t="shared" si="3"/>
        <v>177</v>
      </c>
      <c r="R26" s="289">
        <f t="shared" si="4"/>
        <v>1516</v>
      </c>
      <c r="S26" s="293">
        <f t="shared" si="5"/>
        <v>5633</v>
      </c>
      <c r="T26" s="289">
        <f t="shared" si="9"/>
        <v>11951</v>
      </c>
      <c r="U26" s="276">
        <f t="shared" si="6"/>
        <v>8.2251709808209127E-3</v>
      </c>
      <c r="V26" s="289">
        <f t="shared" si="7"/>
        <v>7326</v>
      </c>
      <c r="W26" s="293">
        <f t="shared" si="8"/>
        <v>0</v>
      </c>
    </row>
    <row r="27" spans="1:23">
      <c r="A27" s="143" t="s">
        <v>76</v>
      </c>
      <c r="B27" s="142">
        <v>2575</v>
      </c>
      <c r="C27" s="143">
        <v>96</v>
      </c>
      <c r="D27" s="143">
        <v>563</v>
      </c>
      <c r="E27" s="142">
        <v>3930</v>
      </c>
      <c r="F27" s="142">
        <v>1910</v>
      </c>
      <c r="G27" s="143">
        <v>18</v>
      </c>
      <c r="H27" s="249">
        <f t="shared" si="0"/>
        <v>9092</v>
      </c>
      <c r="I27" s="142">
        <v>25000</v>
      </c>
      <c r="J27" s="143">
        <v>99</v>
      </c>
      <c r="K27" s="143">
        <v>226</v>
      </c>
      <c r="L27" s="292">
        <v>51</v>
      </c>
      <c r="M27" s="249">
        <f t="shared" si="1"/>
        <v>25376</v>
      </c>
      <c r="N27" s="143">
        <v>0</v>
      </c>
      <c r="O27" s="143">
        <v>228</v>
      </c>
      <c r="P27" s="254">
        <f t="shared" si="2"/>
        <v>34696</v>
      </c>
      <c r="Q27" s="289">
        <f t="shared" si="3"/>
        <v>3138</v>
      </c>
      <c r="R27" s="289">
        <f t="shared" si="4"/>
        <v>5954</v>
      </c>
      <c r="S27" s="293">
        <f t="shared" si="5"/>
        <v>25604</v>
      </c>
      <c r="T27" s="289">
        <f t="shared" si="9"/>
        <v>74846</v>
      </c>
      <c r="U27" s="276">
        <f t="shared" si="6"/>
        <v>5.1512103357921675E-2</v>
      </c>
      <c r="V27" s="289">
        <f t="shared" si="7"/>
        <v>34696</v>
      </c>
      <c r="W27" s="293">
        <f t="shared" si="8"/>
        <v>0</v>
      </c>
    </row>
    <row r="28" spans="1:23">
      <c r="A28" s="143" t="s">
        <v>77</v>
      </c>
      <c r="B28" s="143">
        <v>317</v>
      </c>
      <c r="C28" s="143">
        <v>1</v>
      </c>
      <c r="D28" s="143">
        <v>79</v>
      </c>
      <c r="E28" s="143">
        <v>708</v>
      </c>
      <c r="F28" s="143">
        <v>901</v>
      </c>
      <c r="G28" s="143">
        <v>4</v>
      </c>
      <c r="H28" s="249">
        <f t="shared" si="0"/>
        <v>2010</v>
      </c>
      <c r="I28" s="142">
        <v>6659</v>
      </c>
      <c r="J28" s="143">
        <v>0</v>
      </c>
      <c r="K28" s="143">
        <v>144</v>
      </c>
      <c r="L28" s="292">
        <v>72</v>
      </c>
      <c r="M28" s="249">
        <f t="shared" si="1"/>
        <v>6875</v>
      </c>
      <c r="N28" s="143">
        <v>17</v>
      </c>
      <c r="O28" s="143">
        <v>39</v>
      </c>
      <c r="P28" s="254">
        <f t="shared" si="2"/>
        <v>8941</v>
      </c>
      <c r="Q28" s="289">
        <f t="shared" si="3"/>
        <v>396</v>
      </c>
      <c r="R28" s="289">
        <f t="shared" si="4"/>
        <v>1614</v>
      </c>
      <c r="S28" s="293">
        <f t="shared" si="5"/>
        <v>6931</v>
      </c>
      <c r="T28" s="289">
        <f t="shared" si="9"/>
        <v>15733</v>
      </c>
      <c r="U28" s="276">
        <f t="shared" si="6"/>
        <v>1.0828099325684496E-2</v>
      </c>
      <c r="V28" s="289">
        <f t="shared" si="7"/>
        <v>8941</v>
      </c>
      <c r="W28" s="293">
        <f t="shared" si="8"/>
        <v>0</v>
      </c>
    </row>
    <row r="29" spans="1:23">
      <c r="A29" s="143" t="s">
        <v>78</v>
      </c>
      <c r="B29" s="142">
        <v>1983</v>
      </c>
      <c r="C29" s="143">
        <v>4</v>
      </c>
      <c r="D29" s="143">
        <v>391</v>
      </c>
      <c r="E29" s="142">
        <v>3918</v>
      </c>
      <c r="F29" s="142">
        <v>1013</v>
      </c>
      <c r="G29" s="143">
        <v>13</v>
      </c>
      <c r="H29" s="249">
        <f t="shared" si="0"/>
        <v>7322</v>
      </c>
      <c r="I29" s="142">
        <v>22384</v>
      </c>
      <c r="J29" s="143">
        <v>0</v>
      </c>
      <c r="K29" s="143">
        <v>5</v>
      </c>
      <c r="L29" s="292">
        <v>29</v>
      </c>
      <c r="M29" s="249">
        <f t="shared" si="1"/>
        <v>22418</v>
      </c>
      <c r="N29" s="143">
        <v>0</v>
      </c>
      <c r="O29" s="143">
        <v>665</v>
      </c>
      <c r="P29" s="254">
        <f t="shared" si="2"/>
        <v>30405</v>
      </c>
      <c r="Q29" s="289">
        <f t="shared" si="3"/>
        <v>2374</v>
      </c>
      <c r="R29" s="289">
        <f t="shared" si="4"/>
        <v>4948</v>
      </c>
      <c r="S29" s="293">
        <f t="shared" si="5"/>
        <v>23083</v>
      </c>
      <c r="T29" s="289">
        <f t="shared" si="9"/>
        <v>61667</v>
      </c>
      <c r="U29" s="276">
        <f t="shared" si="6"/>
        <v>4.2441772142438557E-2</v>
      </c>
      <c r="V29" s="289">
        <f t="shared" si="7"/>
        <v>30405</v>
      </c>
      <c r="W29" s="293">
        <f t="shared" si="8"/>
        <v>0</v>
      </c>
    </row>
    <row r="30" spans="1:23">
      <c r="A30" s="143" t="s">
        <v>79</v>
      </c>
      <c r="B30" s="143">
        <v>550</v>
      </c>
      <c r="C30" s="143">
        <v>194</v>
      </c>
      <c r="D30" s="143">
        <v>172</v>
      </c>
      <c r="E30" s="142">
        <v>1483</v>
      </c>
      <c r="F30" s="143">
        <v>518</v>
      </c>
      <c r="G30" s="143">
        <v>2</v>
      </c>
      <c r="H30" s="249">
        <f t="shared" si="0"/>
        <v>2919</v>
      </c>
      <c r="I30" s="142">
        <v>14696</v>
      </c>
      <c r="J30" s="143">
        <v>0</v>
      </c>
      <c r="K30" s="143">
        <v>0</v>
      </c>
      <c r="L30" s="292">
        <v>13</v>
      </c>
      <c r="M30" s="249">
        <f t="shared" si="1"/>
        <v>14709</v>
      </c>
      <c r="N30" s="143">
        <v>939</v>
      </c>
      <c r="O30" s="143">
        <v>215</v>
      </c>
      <c r="P30" s="254">
        <f t="shared" si="2"/>
        <v>18782</v>
      </c>
      <c r="Q30" s="289">
        <f t="shared" si="3"/>
        <v>722</v>
      </c>
      <c r="R30" s="289">
        <f t="shared" si="4"/>
        <v>2197</v>
      </c>
      <c r="S30" s="293">
        <f t="shared" si="5"/>
        <v>15863</v>
      </c>
      <c r="T30" s="289">
        <f t="shared" si="9"/>
        <v>29674</v>
      </c>
      <c r="U30" s="276">
        <f t="shared" si="6"/>
        <v>2.042287036104759E-2</v>
      </c>
      <c r="V30" s="289">
        <f t="shared" si="7"/>
        <v>18782</v>
      </c>
      <c r="W30" s="293">
        <f t="shared" si="8"/>
        <v>0</v>
      </c>
    </row>
    <row r="31" spans="1:23">
      <c r="A31" s="143" t="s">
        <v>80</v>
      </c>
      <c r="B31" s="143">
        <v>26</v>
      </c>
      <c r="C31" s="143">
        <v>0</v>
      </c>
      <c r="D31" s="143">
        <v>5</v>
      </c>
      <c r="E31" s="143">
        <v>187</v>
      </c>
      <c r="F31" s="143">
        <v>113</v>
      </c>
      <c r="G31" s="143">
        <v>1</v>
      </c>
      <c r="H31" s="249">
        <f t="shared" si="0"/>
        <v>332</v>
      </c>
      <c r="I31" s="142">
        <v>4188</v>
      </c>
      <c r="J31" s="143">
        <v>0</v>
      </c>
      <c r="K31" s="143">
        <v>45</v>
      </c>
      <c r="L31" s="292">
        <v>3</v>
      </c>
      <c r="M31" s="249">
        <f t="shared" si="1"/>
        <v>4236</v>
      </c>
      <c r="N31" s="143">
        <v>104</v>
      </c>
      <c r="O31" s="143">
        <v>125</v>
      </c>
      <c r="P31" s="254">
        <f t="shared" si="2"/>
        <v>4797</v>
      </c>
      <c r="Q31" s="289">
        <f t="shared" si="3"/>
        <v>31</v>
      </c>
      <c r="R31" s="289">
        <f t="shared" si="4"/>
        <v>301</v>
      </c>
      <c r="S31" s="293">
        <f t="shared" si="5"/>
        <v>4465</v>
      </c>
      <c r="T31" s="289">
        <f t="shared" si="9"/>
        <v>5678</v>
      </c>
      <c r="U31" s="276">
        <f t="shared" si="6"/>
        <v>3.9078337234625671E-3</v>
      </c>
      <c r="V31" s="289">
        <f t="shared" si="7"/>
        <v>4797</v>
      </c>
      <c r="W31" s="293">
        <f t="shared" si="8"/>
        <v>0</v>
      </c>
    </row>
    <row r="32" spans="1:23">
      <c r="A32" s="143" t="s">
        <v>81</v>
      </c>
      <c r="B32" s="142">
        <v>2505</v>
      </c>
      <c r="C32" s="143">
        <v>81</v>
      </c>
      <c r="D32" s="143">
        <v>313</v>
      </c>
      <c r="E32" s="142">
        <v>2725</v>
      </c>
      <c r="F32" s="143">
        <v>600</v>
      </c>
      <c r="G32" s="143">
        <v>7</v>
      </c>
      <c r="H32" s="249">
        <f t="shared" si="0"/>
        <v>6231</v>
      </c>
      <c r="I32" s="142">
        <v>22573</v>
      </c>
      <c r="J32" s="143">
        <v>0</v>
      </c>
      <c r="K32" s="143">
        <v>113</v>
      </c>
      <c r="L32" s="292">
        <v>46</v>
      </c>
      <c r="M32" s="249">
        <f t="shared" si="1"/>
        <v>22732</v>
      </c>
      <c r="N32" s="143">
        <v>0</v>
      </c>
      <c r="O32" s="143">
        <v>376</v>
      </c>
      <c r="P32" s="254">
        <f t="shared" si="2"/>
        <v>29339</v>
      </c>
      <c r="Q32" s="289">
        <f t="shared" si="3"/>
        <v>2818</v>
      </c>
      <c r="R32" s="289">
        <f t="shared" si="4"/>
        <v>3413</v>
      </c>
      <c r="S32" s="293">
        <f t="shared" si="5"/>
        <v>23108</v>
      </c>
      <c r="T32" s="289">
        <f t="shared" si="9"/>
        <v>61527</v>
      </c>
      <c r="U32" s="276">
        <f t="shared" si="6"/>
        <v>4.2345418369757193E-2</v>
      </c>
      <c r="V32" s="289">
        <f t="shared" si="7"/>
        <v>29339</v>
      </c>
      <c r="W32" s="293">
        <f t="shared" si="8"/>
        <v>0</v>
      </c>
    </row>
    <row r="33" spans="1:23">
      <c r="A33" s="143" t="s">
        <v>52</v>
      </c>
      <c r="B33" s="143">
        <v>703</v>
      </c>
      <c r="C33" s="143">
        <v>176</v>
      </c>
      <c r="D33" s="143">
        <v>40</v>
      </c>
      <c r="E33" s="142">
        <v>2784</v>
      </c>
      <c r="F33" s="143">
        <v>973</v>
      </c>
      <c r="G33" s="143">
        <v>5</v>
      </c>
      <c r="H33" s="249">
        <f t="shared" si="0"/>
        <v>4681</v>
      </c>
      <c r="I33" s="142">
        <v>18193</v>
      </c>
      <c r="J33" s="143">
        <v>46</v>
      </c>
      <c r="K33" s="143">
        <v>26</v>
      </c>
      <c r="L33" s="292">
        <v>32</v>
      </c>
      <c r="M33" s="249">
        <f t="shared" si="1"/>
        <v>18297</v>
      </c>
      <c r="N33" s="143">
        <v>172</v>
      </c>
      <c r="O33" s="143">
        <v>152</v>
      </c>
      <c r="P33" s="254">
        <f t="shared" si="2"/>
        <v>23302</v>
      </c>
      <c r="Q33" s="289">
        <f t="shared" si="3"/>
        <v>743</v>
      </c>
      <c r="R33" s="289">
        <f t="shared" si="4"/>
        <v>3938</v>
      </c>
      <c r="S33" s="293">
        <f t="shared" si="5"/>
        <v>18621</v>
      </c>
      <c r="T33" s="289">
        <f t="shared" si="9"/>
        <v>37865</v>
      </c>
      <c r="U33" s="276">
        <f t="shared" si="6"/>
        <v>2.6060254304140561E-2</v>
      </c>
      <c r="V33" s="289">
        <f t="shared" si="7"/>
        <v>23302</v>
      </c>
      <c r="W33" s="293">
        <f t="shared" si="8"/>
        <v>0</v>
      </c>
    </row>
    <row r="34" spans="1:23" ht="14.25" customHeight="1">
      <c r="A34" s="143" t="s">
        <v>41</v>
      </c>
      <c r="B34" s="143">
        <v>144</v>
      </c>
      <c r="C34" s="143">
        <v>24</v>
      </c>
      <c r="D34" s="143">
        <v>20</v>
      </c>
      <c r="E34" s="142">
        <v>2063</v>
      </c>
      <c r="F34" s="143">
        <v>562</v>
      </c>
      <c r="G34" s="143">
        <v>4</v>
      </c>
      <c r="H34" s="249">
        <f t="shared" si="0"/>
        <v>2817</v>
      </c>
      <c r="I34" s="142">
        <v>8026</v>
      </c>
      <c r="J34" s="143">
        <v>352</v>
      </c>
      <c r="K34" s="143">
        <v>136</v>
      </c>
      <c r="L34" s="292">
        <v>121</v>
      </c>
      <c r="M34" s="249">
        <f t="shared" si="1"/>
        <v>8635</v>
      </c>
      <c r="N34" s="143">
        <v>338</v>
      </c>
      <c r="O34" s="143">
        <v>337</v>
      </c>
      <c r="P34" s="254">
        <f t="shared" si="2"/>
        <v>12127</v>
      </c>
      <c r="Q34" s="289">
        <f t="shared" si="3"/>
        <v>164</v>
      </c>
      <c r="R34" s="289">
        <f t="shared" si="4"/>
        <v>2653</v>
      </c>
      <c r="S34" s="293">
        <f t="shared" si="5"/>
        <v>9310</v>
      </c>
      <c r="T34" s="289">
        <f t="shared" si="9"/>
        <v>18909</v>
      </c>
      <c r="U34" s="276">
        <f t="shared" si="6"/>
        <v>1.301395348308448E-2</v>
      </c>
      <c r="V34" s="289">
        <f t="shared" si="7"/>
        <v>12127</v>
      </c>
      <c r="W34" s="293">
        <f t="shared" si="8"/>
        <v>0</v>
      </c>
    </row>
    <row r="35" spans="1:23">
      <c r="A35" s="143" t="s">
        <v>82</v>
      </c>
      <c r="B35" s="142">
        <v>2479</v>
      </c>
      <c r="C35" s="143">
        <v>38</v>
      </c>
      <c r="D35" s="143">
        <v>527</v>
      </c>
      <c r="E35" s="142">
        <v>5055</v>
      </c>
      <c r="F35" s="143">
        <v>812</v>
      </c>
      <c r="G35" s="143">
        <v>11</v>
      </c>
      <c r="H35" s="249">
        <f t="shared" si="0"/>
        <v>8922</v>
      </c>
      <c r="I35" s="142">
        <v>26626</v>
      </c>
      <c r="J35" s="143">
        <v>0</v>
      </c>
      <c r="K35" s="143">
        <v>102</v>
      </c>
      <c r="L35" s="292">
        <v>42</v>
      </c>
      <c r="M35" s="249">
        <f t="shared" si="1"/>
        <v>26770</v>
      </c>
      <c r="N35" s="143">
        <v>29</v>
      </c>
      <c r="O35" s="143">
        <v>412</v>
      </c>
      <c r="P35" s="254">
        <f t="shared" si="2"/>
        <v>36133</v>
      </c>
      <c r="Q35" s="289">
        <f t="shared" si="3"/>
        <v>3006</v>
      </c>
      <c r="R35" s="289">
        <f t="shared" si="4"/>
        <v>5916</v>
      </c>
      <c r="S35" s="293">
        <f t="shared" si="5"/>
        <v>27211</v>
      </c>
      <c r="T35" s="289">
        <f t="shared" si="9"/>
        <v>75019</v>
      </c>
      <c r="U35" s="276">
        <f t="shared" si="6"/>
        <v>5.1631169091306502E-2</v>
      </c>
      <c r="V35" s="289">
        <f t="shared" si="7"/>
        <v>36133</v>
      </c>
      <c r="W35" s="293">
        <f t="shared" si="8"/>
        <v>0</v>
      </c>
    </row>
    <row r="36" spans="1:23">
      <c r="A36" s="143" t="s">
        <v>54</v>
      </c>
      <c r="B36" s="143">
        <f>705+13</f>
        <v>718</v>
      </c>
      <c r="C36" s="143">
        <v>0</v>
      </c>
      <c r="D36" s="143">
        <f>118+6</f>
        <v>124</v>
      </c>
      <c r="E36" s="143">
        <f>670+12</f>
        <v>682</v>
      </c>
      <c r="F36" s="143">
        <f>378+42</f>
        <v>420</v>
      </c>
      <c r="G36" s="143">
        <v>0</v>
      </c>
      <c r="H36" s="249">
        <f t="shared" si="0"/>
        <v>1944</v>
      </c>
      <c r="I36" s="142">
        <f>10868+I50</f>
        <v>11204</v>
      </c>
      <c r="J36" s="143">
        <v>302</v>
      </c>
      <c r="K36" s="143">
        <f>38+K50</f>
        <v>401</v>
      </c>
      <c r="L36" s="292">
        <v>8</v>
      </c>
      <c r="M36" s="249">
        <f t="shared" si="1"/>
        <v>11915</v>
      </c>
      <c r="N36" s="143">
        <v>364</v>
      </c>
      <c r="O36" s="143">
        <v>5</v>
      </c>
      <c r="P36" s="254">
        <f t="shared" si="2"/>
        <v>14228</v>
      </c>
      <c r="Q36" s="289">
        <f t="shared" si="3"/>
        <v>842</v>
      </c>
      <c r="R36" s="289">
        <f t="shared" si="4"/>
        <v>1102</v>
      </c>
      <c r="S36" s="293">
        <f t="shared" si="5"/>
        <v>12284</v>
      </c>
      <c r="T36" s="289">
        <f t="shared" si="9"/>
        <v>24010</v>
      </c>
      <c r="U36" s="276">
        <f t="shared" si="6"/>
        <v>1.6524672014853158E-2</v>
      </c>
      <c r="V36" s="289">
        <f t="shared" si="7"/>
        <v>14228</v>
      </c>
      <c r="W36" s="293">
        <f t="shared" si="8"/>
        <v>0</v>
      </c>
    </row>
    <row r="37" spans="1:23">
      <c r="A37" s="143" t="s">
        <v>21</v>
      </c>
      <c r="B37" s="143">
        <v>727</v>
      </c>
      <c r="C37" s="143">
        <v>0</v>
      </c>
      <c r="D37" s="143">
        <v>148</v>
      </c>
      <c r="E37" s="142">
        <v>3572</v>
      </c>
      <c r="F37" s="143">
        <v>932</v>
      </c>
      <c r="G37" s="143">
        <v>4</v>
      </c>
      <c r="H37" s="249">
        <f t="shared" si="0"/>
        <v>5383</v>
      </c>
      <c r="I37" s="142">
        <v>17160</v>
      </c>
      <c r="J37" s="143">
        <v>0</v>
      </c>
      <c r="K37" s="143">
        <v>1</v>
      </c>
      <c r="L37" s="292">
        <v>4</v>
      </c>
      <c r="M37" s="249">
        <f t="shared" si="1"/>
        <v>17165</v>
      </c>
      <c r="N37" s="143">
        <v>112</v>
      </c>
      <c r="O37" s="143">
        <v>141</v>
      </c>
      <c r="P37" s="254">
        <f t="shared" si="2"/>
        <v>22801</v>
      </c>
      <c r="Q37" s="289">
        <f t="shared" si="3"/>
        <v>875</v>
      </c>
      <c r="R37" s="289">
        <f t="shared" si="4"/>
        <v>4508</v>
      </c>
      <c r="S37" s="293">
        <f t="shared" si="5"/>
        <v>17418</v>
      </c>
      <c r="T37" s="289">
        <f t="shared" si="9"/>
        <v>39692</v>
      </c>
      <c r="U37" s="276">
        <f t="shared" si="6"/>
        <v>2.7317671037632302E-2</v>
      </c>
      <c r="V37" s="289">
        <f t="shared" si="7"/>
        <v>22801</v>
      </c>
      <c r="W37" s="293">
        <f t="shared" si="8"/>
        <v>0</v>
      </c>
    </row>
    <row r="38" spans="1:23">
      <c r="A38" s="143" t="s">
        <v>42</v>
      </c>
      <c r="B38" s="143">
        <v>60</v>
      </c>
      <c r="C38" s="143">
        <v>0</v>
      </c>
      <c r="D38" s="143">
        <v>16</v>
      </c>
      <c r="E38" s="143">
        <v>258</v>
      </c>
      <c r="F38" s="143">
        <v>350</v>
      </c>
      <c r="G38" s="143">
        <v>0</v>
      </c>
      <c r="H38" s="249">
        <f t="shared" si="0"/>
        <v>684</v>
      </c>
      <c r="I38" s="142">
        <v>2976</v>
      </c>
      <c r="J38" s="143">
        <v>0</v>
      </c>
      <c r="K38" s="143">
        <v>0</v>
      </c>
      <c r="L38" s="292">
        <v>11</v>
      </c>
      <c r="M38" s="249">
        <f t="shared" si="1"/>
        <v>2987</v>
      </c>
      <c r="N38" s="143">
        <v>241</v>
      </c>
      <c r="O38" s="143">
        <v>193</v>
      </c>
      <c r="P38" s="254">
        <f t="shared" si="2"/>
        <v>4105</v>
      </c>
      <c r="Q38" s="289">
        <f t="shared" si="3"/>
        <v>76</v>
      </c>
      <c r="R38" s="289">
        <f t="shared" si="4"/>
        <v>608</v>
      </c>
      <c r="S38" s="293">
        <f t="shared" si="5"/>
        <v>3421</v>
      </c>
      <c r="T38" s="289">
        <f t="shared" si="9"/>
        <v>6005</v>
      </c>
      <c r="U38" s="276">
        <f t="shared" si="6"/>
        <v>4.1328886067968857E-3</v>
      </c>
      <c r="V38" s="289">
        <f t="shared" si="7"/>
        <v>4105</v>
      </c>
      <c r="W38" s="293">
        <f t="shared" si="8"/>
        <v>0</v>
      </c>
    </row>
    <row r="39" spans="1:23">
      <c r="A39" s="143" t="s">
        <v>83</v>
      </c>
      <c r="B39" s="142">
        <v>1288</v>
      </c>
      <c r="C39" s="143">
        <v>3</v>
      </c>
      <c r="D39" s="143">
        <v>190</v>
      </c>
      <c r="E39" s="143">
        <v>909</v>
      </c>
      <c r="F39" s="143">
        <v>447</v>
      </c>
      <c r="G39" s="143">
        <v>11</v>
      </c>
      <c r="H39" s="249">
        <f t="shared" si="0"/>
        <v>2848</v>
      </c>
      <c r="I39" s="142">
        <v>12324</v>
      </c>
      <c r="J39" s="143">
        <v>0</v>
      </c>
      <c r="K39" s="143">
        <v>17</v>
      </c>
      <c r="L39" s="292">
        <v>90</v>
      </c>
      <c r="M39" s="249">
        <f t="shared" si="1"/>
        <v>12431</v>
      </c>
      <c r="N39" s="143">
        <v>49</v>
      </c>
      <c r="O39" s="143">
        <v>2</v>
      </c>
      <c r="P39" s="254">
        <f t="shared" si="2"/>
        <v>15330</v>
      </c>
      <c r="Q39" s="289">
        <f t="shared" si="3"/>
        <v>1478</v>
      </c>
      <c r="R39" s="289">
        <f t="shared" si="4"/>
        <v>1370</v>
      </c>
      <c r="S39" s="293">
        <f t="shared" si="5"/>
        <v>12482</v>
      </c>
      <c r="T39" s="289">
        <f t="shared" si="9"/>
        <v>31372</v>
      </c>
      <c r="U39" s="276">
        <f t="shared" si="6"/>
        <v>2.1591503975425794E-2</v>
      </c>
      <c r="V39" s="289">
        <f t="shared" si="7"/>
        <v>15330</v>
      </c>
      <c r="W39" s="293">
        <f t="shared" si="8"/>
        <v>0</v>
      </c>
    </row>
    <row r="40" spans="1:23">
      <c r="A40" s="143" t="s">
        <v>22</v>
      </c>
      <c r="B40" s="143">
        <v>400</v>
      </c>
      <c r="C40" s="143">
        <v>1</v>
      </c>
      <c r="D40" s="143">
        <v>38</v>
      </c>
      <c r="E40" s="142">
        <v>2106</v>
      </c>
      <c r="F40" s="143">
        <v>859</v>
      </c>
      <c r="G40" s="143">
        <v>1</v>
      </c>
      <c r="H40" s="249">
        <f t="shared" si="0"/>
        <v>3405</v>
      </c>
      <c r="I40" s="142">
        <v>20219</v>
      </c>
      <c r="J40" s="143">
        <v>0</v>
      </c>
      <c r="K40" s="143">
        <v>1</v>
      </c>
      <c r="L40" s="292">
        <v>8</v>
      </c>
      <c r="M40" s="249">
        <f t="shared" si="1"/>
        <v>20228</v>
      </c>
      <c r="N40" s="143">
        <v>72</v>
      </c>
      <c r="O40" s="143">
        <v>269</v>
      </c>
      <c r="P40" s="254">
        <f t="shared" si="2"/>
        <v>23974</v>
      </c>
      <c r="Q40" s="289">
        <f t="shared" si="3"/>
        <v>438</v>
      </c>
      <c r="R40" s="289">
        <f t="shared" si="4"/>
        <v>2967</v>
      </c>
      <c r="S40" s="293">
        <f t="shared" si="5"/>
        <v>20569</v>
      </c>
      <c r="T40" s="289">
        <f t="shared" si="9"/>
        <v>33850</v>
      </c>
      <c r="U40" s="276">
        <f t="shared" si="6"/>
        <v>2.3296965751885855E-2</v>
      </c>
      <c r="V40" s="289">
        <f t="shared" si="7"/>
        <v>23974</v>
      </c>
      <c r="W40" s="293">
        <f t="shared" si="8"/>
        <v>0</v>
      </c>
    </row>
    <row r="41" spans="1:23">
      <c r="A41" s="143" t="s">
        <v>23</v>
      </c>
      <c r="B41" s="143">
        <v>698</v>
      </c>
      <c r="C41" s="143">
        <v>3</v>
      </c>
      <c r="D41" s="143">
        <v>149</v>
      </c>
      <c r="E41" s="142">
        <v>2520</v>
      </c>
      <c r="F41" s="143">
        <v>645</v>
      </c>
      <c r="G41" s="143">
        <v>6</v>
      </c>
      <c r="H41" s="249">
        <f t="shared" si="0"/>
        <v>4021</v>
      </c>
      <c r="I41" s="142">
        <v>11755</v>
      </c>
      <c r="J41" s="143">
        <v>0</v>
      </c>
      <c r="K41" s="143">
        <v>0</v>
      </c>
      <c r="L41" s="292">
        <v>6</v>
      </c>
      <c r="M41" s="249">
        <f t="shared" si="1"/>
        <v>11761</v>
      </c>
      <c r="N41" s="143">
        <v>245</v>
      </c>
      <c r="O41" s="143">
        <v>324</v>
      </c>
      <c r="P41" s="254">
        <f t="shared" si="2"/>
        <v>16351</v>
      </c>
      <c r="Q41" s="289">
        <f t="shared" si="3"/>
        <v>847</v>
      </c>
      <c r="R41" s="289">
        <f t="shared" si="4"/>
        <v>3174</v>
      </c>
      <c r="S41" s="293">
        <f t="shared" si="5"/>
        <v>12330</v>
      </c>
      <c r="T41" s="289">
        <f t="shared" si="9"/>
        <v>30322</v>
      </c>
      <c r="U41" s="276">
        <f t="shared" si="6"/>
        <v>2.0868850680315597E-2</v>
      </c>
      <c r="V41" s="289">
        <f t="shared" si="7"/>
        <v>16351</v>
      </c>
      <c r="W41" s="293">
        <f t="shared" si="8"/>
        <v>0</v>
      </c>
    </row>
    <row r="42" spans="1:23">
      <c r="A42" s="143" t="s">
        <v>33</v>
      </c>
      <c r="B42" s="143">
        <v>386</v>
      </c>
      <c r="C42" s="143">
        <v>28</v>
      </c>
      <c r="D42" s="143">
        <v>33</v>
      </c>
      <c r="E42" s="142">
        <v>1294</v>
      </c>
      <c r="F42" s="143">
        <v>537</v>
      </c>
      <c r="G42" s="143">
        <v>0</v>
      </c>
      <c r="H42" s="249">
        <f t="shared" si="0"/>
        <v>2278</v>
      </c>
      <c r="I42" s="142">
        <v>12477</v>
      </c>
      <c r="J42" s="143">
        <v>0</v>
      </c>
      <c r="K42" s="143">
        <v>0</v>
      </c>
      <c r="L42" s="292">
        <v>0</v>
      </c>
      <c r="M42" s="249">
        <f t="shared" si="1"/>
        <v>12477</v>
      </c>
      <c r="N42" s="143">
        <v>166</v>
      </c>
      <c r="O42" s="143">
        <v>142</v>
      </c>
      <c r="P42" s="254">
        <f t="shared" si="2"/>
        <v>15063</v>
      </c>
      <c r="Q42" s="289">
        <f t="shared" si="3"/>
        <v>419</v>
      </c>
      <c r="R42" s="289">
        <f t="shared" si="4"/>
        <v>1859</v>
      </c>
      <c r="S42" s="293">
        <f t="shared" si="5"/>
        <v>12785</v>
      </c>
      <c r="T42" s="289">
        <f>(10*Q42)+(3*R42)+S42</f>
        <v>22552</v>
      </c>
      <c r="U42" s="276">
        <f t="shared" si="6"/>
        <v>1.5521216296500143E-2</v>
      </c>
      <c r="V42" s="289">
        <f t="shared" si="7"/>
        <v>15063</v>
      </c>
      <c r="W42" s="293">
        <f t="shared" si="8"/>
        <v>0</v>
      </c>
    </row>
    <row r="43" spans="1:23" s="507" customFormat="1" thickBot="1">
      <c r="A43" s="407" t="s">
        <v>10</v>
      </c>
      <c r="B43" s="259">
        <f>SUM(B4:B42)</f>
        <v>29229</v>
      </c>
      <c r="C43" s="259">
        <f t="shared" ref="C43:O43" si="10">SUM(C4:C42)</f>
        <v>931</v>
      </c>
      <c r="D43" s="259">
        <f t="shared" si="10"/>
        <v>5007</v>
      </c>
      <c r="E43" s="259">
        <f t="shared" si="10"/>
        <v>80687</v>
      </c>
      <c r="F43" s="259">
        <f t="shared" si="10"/>
        <v>30056</v>
      </c>
      <c r="G43" s="259">
        <f t="shared" si="10"/>
        <v>241</v>
      </c>
      <c r="H43" s="294">
        <f t="shared" si="10"/>
        <v>146151</v>
      </c>
      <c r="I43" s="259">
        <f t="shared" si="10"/>
        <v>532197</v>
      </c>
      <c r="J43" s="259">
        <f t="shared" si="10"/>
        <v>3460</v>
      </c>
      <c r="K43" s="259">
        <f t="shared" si="10"/>
        <v>3459</v>
      </c>
      <c r="L43" s="259">
        <f t="shared" si="10"/>
        <v>1452</v>
      </c>
      <c r="M43" s="294">
        <f t="shared" si="10"/>
        <v>540568</v>
      </c>
      <c r="N43" s="259">
        <f t="shared" si="10"/>
        <v>4649</v>
      </c>
      <c r="O43" s="259">
        <f t="shared" si="10"/>
        <v>8432</v>
      </c>
      <c r="P43" s="296">
        <f>H43+M43</f>
        <v>686719</v>
      </c>
      <c r="Q43" s="259">
        <f>SUM(Q4:Q42)</f>
        <v>34236</v>
      </c>
      <c r="R43" s="259">
        <f>SUM(R4:R42)</f>
        <v>111915</v>
      </c>
      <c r="S43" s="259">
        <f>SUM(S4:S42)</f>
        <v>553649</v>
      </c>
      <c r="T43" s="259">
        <f>SUM(T4:T42)</f>
        <v>1231754</v>
      </c>
      <c r="U43" s="344">
        <f>SUM(U4:U42)</f>
        <v>0.84774389225253832</v>
      </c>
      <c r="V43" s="295"/>
      <c r="W43" s="295"/>
    </row>
    <row r="44" spans="1:23">
      <c r="A44" s="152" t="s">
        <v>241</v>
      </c>
      <c r="B44" s="142">
        <f>'Tbl 35 2006'!B43</f>
        <v>28715</v>
      </c>
      <c r="C44" s="142">
        <f>'Tbl 35 2006'!C43</f>
        <v>1065</v>
      </c>
      <c r="D44" s="142">
        <f>'Tbl 35 2006'!D43</f>
        <v>5111</v>
      </c>
      <c r="E44" s="142">
        <f>'Tbl 35 2006'!E43</f>
        <v>76894</v>
      </c>
      <c r="F44" s="142">
        <f>'Tbl 35 2006'!F43</f>
        <v>29366</v>
      </c>
      <c r="G44" s="142">
        <f>'Tbl 35 2006'!G43</f>
        <v>216</v>
      </c>
      <c r="H44" s="249">
        <f>'Tbl 35 2006'!H43</f>
        <v>141367</v>
      </c>
      <c r="I44" s="142">
        <f>'Tbl 35 2006'!I43</f>
        <v>519181</v>
      </c>
      <c r="J44" s="142">
        <f>'Tbl 35 2006'!J43</f>
        <v>3448</v>
      </c>
      <c r="K44" s="142">
        <f>'Tbl 35 2006'!K43</f>
        <v>3383</v>
      </c>
      <c r="L44" s="142">
        <f>'Tbl 35 2006'!L43</f>
        <v>1745</v>
      </c>
      <c r="M44" s="249">
        <f>'Tbl 35 2006'!M43</f>
        <v>527757</v>
      </c>
      <c r="N44" s="142">
        <f>'Tbl 35 2006'!N43</f>
        <v>3818</v>
      </c>
      <c r="O44" s="142">
        <f>'Tbl 35 2006'!O43</f>
        <v>8444</v>
      </c>
      <c r="P44" s="254">
        <f>'Tbl 35 2006'!P43</f>
        <v>681386</v>
      </c>
      <c r="Q44" s="142">
        <f>'Tbl 35 2006'!Q43</f>
        <v>33826</v>
      </c>
      <c r="R44" s="142">
        <f>'Tbl 35 2006'!R43</f>
        <v>107541</v>
      </c>
      <c r="S44" s="142">
        <f>'Tbl 35 2006'!S43</f>
        <v>540019</v>
      </c>
      <c r="T44" s="142">
        <f>'Tbl 35 2006'!T43</f>
        <v>1200902</v>
      </c>
    </row>
    <row r="45" spans="1:23">
      <c r="A45" s="148" t="s">
        <v>242</v>
      </c>
      <c r="B45" s="223">
        <f t="shared" ref="B45:P45" si="11">(B43-B44)/B44</f>
        <v>1.7900052237506528E-2</v>
      </c>
      <c r="C45" s="223">
        <f t="shared" si="11"/>
        <v>-0.12582159624413145</v>
      </c>
      <c r="D45" s="223">
        <f t="shared" si="11"/>
        <v>-2.0348268440618274E-2</v>
      </c>
      <c r="E45" s="223">
        <f t="shared" si="11"/>
        <v>4.9327645850131351E-2</v>
      </c>
      <c r="F45" s="223">
        <f t="shared" si="11"/>
        <v>2.3496560648368862E-2</v>
      </c>
      <c r="G45" s="223">
        <f t="shared" si="11"/>
        <v>0.11574074074074074</v>
      </c>
      <c r="H45" s="233">
        <f t="shared" si="11"/>
        <v>3.3840995423260023E-2</v>
      </c>
      <c r="I45" s="223">
        <f t="shared" si="11"/>
        <v>2.5070254882208709E-2</v>
      </c>
      <c r="J45" s="223">
        <f t="shared" si="11"/>
        <v>3.4802784222737818E-3</v>
      </c>
      <c r="K45" s="223">
        <f t="shared" si="11"/>
        <v>2.2465267514040793E-2</v>
      </c>
      <c r="L45" s="231">
        <f t="shared" si="11"/>
        <v>-0.16790830945558738</v>
      </c>
      <c r="M45" s="233">
        <f t="shared" si="11"/>
        <v>2.4274429330165208E-2</v>
      </c>
      <c r="N45" s="223">
        <f t="shared" si="11"/>
        <v>0.21765322158198008</v>
      </c>
      <c r="O45" s="223">
        <f t="shared" si="11"/>
        <v>-1.4211274277593558E-3</v>
      </c>
      <c r="P45" s="237">
        <f t="shared" si="11"/>
        <v>7.8266944140325742E-3</v>
      </c>
      <c r="Q45" s="276">
        <f>(Q43-Q44)/Q44</f>
        <v>1.2120853781115118E-2</v>
      </c>
      <c r="R45" s="276">
        <f>(R43-R44)/R44</f>
        <v>4.0672859653527495E-2</v>
      </c>
      <c r="S45" s="276">
        <f>(S43-S44)/S44</f>
        <v>2.5239852671850437E-2</v>
      </c>
      <c r="T45" s="276">
        <f>(T43-T44)/T44</f>
        <v>2.569068916531074E-2</v>
      </c>
    </row>
    <row r="46" spans="1:23">
      <c r="A46" s="148"/>
      <c r="B46" s="223"/>
      <c r="C46" s="223"/>
      <c r="D46" s="223"/>
      <c r="E46" s="223"/>
      <c r="F46" s="223"/>
      <c r="G46" s="223"/>
      <c r="H46" s="223"/>
      <c r="I46" s="223"/>
      <c r="J46" s="223"/>
      <c r="K46" s="223"/>
      <c r="L46" s="231"/>
      <c r="M46" s="223"/>
      <c r="N46" s="223"/>
      <c r="O46" s="223"/>
      <c r="P46" s="223"/>
    </row>
    <row r="47" spans="1:23">
      <c r="A47" s="376" t="s">
        <v>243</v>
      </c>
      <c r="B47" s="376"/>
      <c r="C47" s="376"/>
      <c r="D47" s="508"/>
      <c r="E47" s="376"/>
      <c r="F47" s="396"/>
      <c r="G47" s="396"/>
      <c r="H47" s="509"/>
      <c r="I47" s="376"/>
    </row>
    <row r="48" spans="1:23">
      <c r="A48" s="376" t="s">
        <v>244</v>
      </c>
      <c r="D48" s="510"/>
      <c r="F48" s="293"/>
      <c r="G48" s="293"/>
      <c r="H48" s="511"/>
    </row>
    <row r="49" spans="1:23">
      <c r="A49" s="512"/>
      <c r="B49" s="513"/>
      <c r="C49" s="513"/>
      <c r="D49" s="513"/>
      <c r="E49" s="513"/>
      <c r="F49" s="513"/>
      <c r="G49" s="513"/>
      <c r="H49" s="513"/>
      <c r="I49" s="513"/>
      <c r="J49" s="513"/>
      <c r="K49" s="513"/>
      <c r="L49" s="514"/>
      <c r="M49" s="513"/>
      <c r="N49" s="513"/>
      <c r="O49" s="513"/>
      <c r="P49" s="513"/>
    </row>
    <row r="50" spans="1:23">
      <c r="A50" s="143" t="s">
        <v>240</v>
      </c>
      <c r="B50" s="143">
        <v>13</v>
      </c>
      <c r="C50" s="143">
        <v>0</v>
      </c>
      <c r="D50" s="143">
        <v>6</v>
      </c>
      <c r="E50" s="143">
        <v>12</v>
      </c>
      <c r="F50" s="143">
        <v>42</v>
      </c>
      <c r="G50" s="143">
        <v>0</v>
      </c>
      <c r="H50" s="143">
        <v>73</v>
      </c>
      <c r="I50" s="143">
        <v>336</v>
      </c>
      <c r="J50" s="143">
        <v>0</v>
      </c>
      <c r="K50" s="143">
        <v>363</v>
      </c>
      <c r="L50" s="292">
        <v>0</v>
      </c>
      <c r="M50" s="143">
        <v>700</v>
      </c>
      <c r="N50" s="143">
        <v>0</v>
      </c>
      <c r="O50" s="143">
        <v>0</v>
      </c>
      <c r="P50" s="143">
        <v>773</v>
      </c>
    </row>
    <row r="52" spans="1:23">
      <c r="A52" s="316" t="str">
        <f>'NZ EFT08-2011'!$B$54</f>
        <v>Auckland University of Technology</v>
      </c>
      <c r="P52" s="254">
        <f>SUM(Q52:S52)</f>
        <v>15945.528300000005</v>
      </c>
      <c r="Q52" s="293">
        <f>'NZ EFT.35 2006-13'!Q215</f>
        <v>166.79089999999999</v>
      </c>
      <c r="R52" s="293">
        <f>'NZ EFT.35 2006-13'!R215</f>
        <v>1442.7651000000001</v>
      </c>
      <c r="S52" s="293">
        <f>'NZ EFT.35 2006-13'!S215</f>
        <v>14335.972300000005</v>
      </c>
      <c r="T52" s="538">
        <f>(10*Q52)+(3*R52)+S52</f>
        <v>20332.176600000006</v>
      </c>
      <c r="U52" s="276">
        <f>T52/($T$43+$T$60)</f>
        <v>1.3993442301668985E-2</v>
      </c>
    </row>
    <row r="53" spans="1:23">
      <c r="A53" s="316" t="str">
        <f>'NZ EFT08-2011'!$B$40</f>
        <v>Lincoln University</v>
      </c>
      <c r="P53" s="254">
        <f t="shared" ref="P53:P59" si="12">SUM(Q53:S53)</f>
        <v>2615.2130999999995</v>
      </c>
      <c r="Q53" s="293">
        <f>'NZ EFT.35 2006-13'!Q161</f>
        <v>169.24980000000002</v>
      </c>
      <c r="R53" s="293">
        <f>'NZ EFT.35 2006-13'!R161</f>
        <v>417.15269999999992</v>
      </c>
      <c r="S53" s="293">
        <f>'NZ EFT.35 2006-13'!S161</f>
        <v>2028.8105999999996</v>
      </c>
      <c r="T53" s="538">
        <f t="shared" ref="T53:T59" si="13">(10*Q53)+(3*R53)+S53</f>
        <v>4972.7667000000001</v>
      </c>
      <c r="U53" s="276">
        <f t="shared" ref="U53:U59" si="14">T53/($T$43+$T$60)</f>
        <v>3.4224630872088167E-3</v>
      </c>
    </row>
    <row r="54" spans="1:23">
      <c r="A54" s="316" t="str">
        <f>'NZ EFT08-2011'!$B$19</f>
        <v>Massey University</v>
      </c>
      <c r="P54" s="254">
        <f t="shared" si="12"/>
        <v>19096.600099999989</v>
      </c>
      <c r="Q54" s="293">
        <f>'NZ EFT.35 2006-13'!Q80</f>
        <v>948.2258999999998</v>
      </c>
      <c r="R54" s="293">
        <f>'NZ EFT.35 2006-13'!R80</f>
        <v>4313.2244000000001</v>
      </c>
      <c r="S54" s="293">
        <f>'NZ EFT.35 2006-13'!S80</f>
        <v>13835.14979999999</v>
      </c>
      <c r="T54" s="538">
        <f t="shared" si="13"/>
        <v>36257.081999999988</v>
      </c>
      <c r="U54" s="276">
        <f t="shared" si="14"/>
        <v>2.4953618836552935E-2</v>
      </c>
    </row>
    <row r="55" spans="1:23">
      <c r="A55" s="316" t="str">
        <f>'NZ EFT08-2011'!$B$5</f>
        <v>University of Auckland</v>
      </c>
      <c r="P55" s="254">
        <f t="shared" si="12"/>
        <v>30119.7304</v>
      </c>
      <c r="Q55" s="293">
        <f>'NZ EFT.35 2006-13'!Q26</f>
        <v>1314.3742999999997</v>
      </c>
      <c r="R55" s="293">
        <f>'NZ EFT.35 2006-13'!R26</f>
        <v>7042.5700000000052</v>
      </c>
      <c r="S55" s="293">
        <f>'NZ EFT.35 2006-13'!S26</f>
        <v>21762.786099999998</v>
      </c>
      <c r="T55" s="538">
        <f t="shared" si="13"/>
        <v>56034.239100000006</v>
      </c>
      <c r="U55" s="276">
        <f t="shared" si="14"/>
        <v>3.856507383295963E-2</v>
      </c>
    </row>
    <row r="56" spans="1:23">
      <c r="A56" s="316" t="str">
        <f>'NZ EFT08-2011'!$B$33</f>
        <v>University of Canterbury</v>
      </c>
      <c r="P56" s="254">
        <f t="shared" si="12"/>
        <v>14394.422799999986</v>
      </c>
      <c r="Q56" s="293">
        <f>'NZ EFT.35 2006-13'!Q134</f>
        <v>543.31439999999998</v>
      </c>
      <c r="R56" s="293">
        <f>'NZ EFT.35 2006-13'!R134</f>
        <v>3979.7175999999977</v>
      </c>
      <c r="S56" s="293">
        <f>'NZ EFT.35 2006-13'!S134</f>
        <v>9871.3907999999883</v>
      </c>
      <c r="T56" s="538">
        <f t="shared" si="13"/>
        <v>27243.687599999983</v>
      </c>
      <c r="U56" s="276">
        <f t="shared" si="14"/>
        <v>1.8750229157231225E-2</v>
      </c>
    </row>
    <row r="57" spans="1:23">
      <c r="A57" s="316" t="str">
        <f>'NZ EFT08-2011'!$B$47</f>
        <v>University of Otago</v>
      </c>
      <c r="P57" s="254">
        <f t="shared" si="12"/>
        <v>18219.355399999979</v>
      </c>
      <c r="Q57" s="293">
        <f>'NZ EFT.35 2006-13'!Q188</f>
        <v>880.15409999999986</v>
      </c>
      <c r="R57" s="293">
        <f>'NZ EFT.35 2006-13'!R188</f>
        <v>2671.0438999999997</v>
      </c>
      <c r="S57" s="293">
        <f>'NZ EFT.35 2006-13'!S188</f>
        <v>14668.157399999978</v>
      </c>
      <c r="T57" s="538">
        <f t="shared" si="13"/>
        <v>31482.830099999977</v>
      </c>
      <c r="U57" s="276">
        <f t="shared" si="14"/>
        <v>2.1667781820151864E-2</v>
      </c>
    </row>
    <row r="58" spans="1:23">
      <c r="A58" s="316" t="str">
        <f>'NZ EFT08-2011'!$B$12</f>
        <v>University of Waikato</v>
      </c>
      <c r="P58" s="254">
        <f t="shared" si="12"/>
        <v>9325.0521999999637</v>
      </c>
      <c r="Q58" s="293">
        <f>'NZ EFT.35 2006-13'!Q53</f>
        <v>380.53049999999996</v>
      </c>
      <c r="R58" s="293">
        <f>'NZ EFT.35 2006-13'!R53</f>
        <v>1527.3674999999998</v>
      </c>
      <c r="S58" s="293">
        <f>'NZ EFT.35 2006-13'!S53</f>
        <v>7417.1541999999636</v>
      </c>
      <c r="T58" s="538">
        <f t="shared" si="13"/>
        <v>15804.561699999962</v>
      </c>
      <c r="U58" s="276">
        <f t="shared" si="14"/>
        <v>1.087735103835941E-2</v>
      </c>
    </row>
    <row r="59" spans="1:23">
      <c r="A59" s="316" t="str">
        <f>'NZ EFT08-2011'!$B$26</f>
        <v>Victoria University of Wellington</v>
      </c>
      <c r="P59" s="254">
        <f t="shared" si="12"/>
        <v>17494.708400000032</v>
      </c>
      <c r="Q59" s="293">
        <f>'NZ EFT.35 2006-13'!Q107</f>
        <v>639.46330000000012</v>
      </c>
      <c r="R59" s="293">
        <f>'NZ EFT.35 2006-13'!R107</f>
        <v>2923.8461000000002</v>
      </c>
      <c r="S59" s="293">
        <f>'NZ EFT.35 2006-13'!S107</f>
        <v>13931.39900000003</v>
      </c>
      <c r="T59" s="538">
        <f t="shared" si="13"/>
        <v>29097.570300000032</v>
      </c>
      <c r="U59" s="276">
        <f t="shared" si="14"/>
        <v>2.0026147673329154E-2</v>
      </c>
    </row>
    <row r="60" spans="1:23" ht="12" thickBot="1">
      <c r="A60" s="482" t="s">
        <v>134</v>
      </c>
      <c r="B60" s="483"/>
      <c r="C60" s="483"/>
      <c r="D60" s="483"/>
      <c r="E60" s="483"/>
      <c r="F60" s="483"/>
      <c r="G60" s="483"/>
      <c r="H60" s="483"/>
      <c r="I60" s="483"/>
      <c r="J60" s="483"/>
      <c r="K60" s="483"/>
      <c r="L60" s="483"/>
      <c r="M60" s="483"/>
      <c r="N60" s="483"/>
      <c r="O60" s="483"/>
      <c r="P60" s="296">
        <f t="shared" ref="P60:U60" si="15">SUM(P52:P59)</f>
        <v>127210.61069999995</v>
      </c>
      <c r="Q60" s="484">
        <f t="shared" si="15"/>
        <v>5042.1031999999996</v>
      </c>
      <c r="R60" s="484">
        <f t="shared" si="15"/>
        <v>24317.687300000001</v>
      </c>
      <c r="S60" s="484">
        <f t="shared" si="15"/>
        <v>97850.820199999944</v>
      </c>
      <c r="T60" s="484">
        <f t="shared" si="15"/>
        <v>221224.91409999994</v>
      </c>
      <c r="U60" s="539">
        <f t="shared" si="15"/>
        <v>0.15225610774746204</v>
      </c>
      <c r="V60" s="483"/>
      <c r="W60" s="483"/>
    </row>
    <row r="61" spans="1:23">
      <c r="A61" s="316"/>
    </row>
    <row r="62" spans="1:23">
      <c r="A62" s="316" t="s">
        <v>132</v>
      </c>
      <c r="P62" s="489">
        <f t="shared" ref="P62:U62" si="16">P43+P60</f>
        <v>813929.61069999996</v>
      </c>
      <c r="Q62" s="489">
        <f t="shared" si="16"/>
        <v>39278.103199999998</v>
      </c>
      <c r="R62" s="489">
        <f t="shared" si="16"/>
        <v>136232.68729999999</v>
      </c>
      <c r="S62" s="489">
        <f t="shared" si="16"/>
        <v>651499.82019999996</v>
      </c>
      <c r="T62" s="489">
        <f t="shared" si="16"/>
        <v>1452978.9140999999</v>
      </c>
      <c r="U62" s="540">
        <f t="shared" si="16"/>
        <v>1.0000000000000004</v>
      </c>
    </row>
  </sheetData>
  <autoFilter ref="A3:V3" xr:uid="{00000000-0009-0000-0000-00000D000000}">
    <sortState xmlns:xlrd2="http://schemas.microsoft.com/office/spreadsheetml/2017/richdata2" ref="A4:V42">
      <sortCondition ref="A3"/>
    </sortState>
  </autoFilter>
  <mergeCells count="1">
    <mergeCell ref="A2:P2"/>
  </mergeCells>
  <hyperlinks>
    <hyperlink ref="A1" location="Index!A1" display="&lt; Back to Index &gt;" xr:uid="{00000000-0004-0000-0D00-000000000000}"/>
    <hyperlink ref="W1" location="'Ave weight 1996-2013'!A1" display="Ave weight 1996-2013" xr:uid="{00000000-0004-0000-0D00-000001000000}"/>
  </hyperlinks>
  <pageMargins left="0.75" right="0.75" top="1" bottom="1" header="0.5" footer="0.5"/>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60"/>
  <sheetViews>
    <sheetView zoomScaleNormal="100" workbookViewId="0">
      <pane xSplit="1" ySplit="3" topLeftCell="H29" activePane="bottomRight" state="frozen"/>
      <selection pane="topRight" activeCell="B1" sqref="B1"/>
      <selection pane="bottomLeft" activeCell="A4" sqref="A4"/>
      <selection pane="bottomRight" activeCell="U58" sqref="U58"/>
    </sheetView>
  </sheetViews>
  <sheetFormatPr defaultColWidth="9.140625" defaultRowHeight="11.25"/>
  <cols>
    <col min="1" max="1" width="27" style="316" customWidth="1"/>
    <col min="2" max="5" width="11.42578125" style="274" customWidth="1"/>
    <col min="6" max="7" width="11.7109375" style="274" customWidth="1"/>
    <col min="8" max="8" width="11.7109375" style="283" customWidth="1"/>
    <col min="9" max="9" width="9.7109375" style="274" bestFit="1" customWidth="1"/>
    <col min="10" max="10" width="8.42578125" style="274" customWidth="1"/>
    <col min="11" max="11" width="10.7109375" style="274" customWidth="1"/>
    <col min="12" max="12" width="11.42578125" style="274" customWidth="1"/>
    <col min="13" max="13" width="12.7109375" style="283" customWidth="1"/>
    <col min="14" max="14" width="8.42578125" style="274" customWidth="1"/>
    <col min="15" max="15" width="8.7109375" style="274" customWidth="1"/>
    <col min="16" max="16" width="11.7109375" style="297" customWidth="1"/>
    <col min="17" max="17" width="8.28515625" style="274" customWidth="1"/>
    <col min="18" max="18" width="8.7109375" style="274" customWidth="1"/>
    <col min="19" max="19" width="8.140625" style="274" customWidth="1"/>
    <col min="20" max="20" width="9.140625" style="274"/>
    <col min="21" max="21" width="10.28515625" style="274" customWidth="1"/>
    <col min="22" max="22" width="8.7109375" style="274" customWidth="1"/>
    <col min="23" max="23" width="8.85546875" style="274" customWidth="1"/>
    <col min="24" max="16384" width="9.140625" style="274"/>
  </cols>
  <sheetData>
    <row r="1" spans="1:23" ht="12.75">
      <c r="A1" s="288" t="s">
        <v>286</v>
      </c>
      <c r="Q1" s="298"/>
      <c r="R1" s="298"/>
      <c r="S1" s="298"/>
      <c r="T1" s="298"/>
      <c r="U1" s="298"/>
      <c r="V1" s="298"/>
      <c r="W1" s="523" t="s">
        <v>304</v>
      </c>
    </row>
    <row r="2" spans="1:23">
      <c r="A2" s="299" t="s">
        <v>103</v>
      </c>
      <c r="B2" s="299"/>
      <c r="C2" s="299"/>
      <c r="D2" s="299"/>
      <c r="E2" s="299"/>
      <c r="F2" s="299"/>
      <c r="G2" s="299"/>
      <c r="H2" s="300"/>
      <c r="I2" s="299"/>
      <c r="J2" s="299"/>
      <c r="K2" s="299"/>
      <c r="L2" s="299"/>
      <c r="M2" s="300"/>
      <c r="N2" s="299"/>
      <c r="O2" s="460"/>
      <c r="P2" s="460"/>
      <c r="Q2" s="298"/>
      <c r="R2" s="298"/>
      <c r="S2" s="301">
        <v>2008</v>
      </c>
      <c r="T2" s="298"/>
      <c r="U2" s="298"/>
      <c r="V2" s="298"/>
    </row>
    <row r="3" spans="1:23" s="269" customFormat="1" ht="33.75">
      <c r="A3" s="463" t="s">
        <v>94</v>
      </c>
      <c r="B3" s="464" t="s">
        <v>0</v>
      </c>
      <c r="C3" s="464" t="s">
        <v>1</v>
      </c>
      <c r="D3" s="464" t="s">
        <v>2</v>
      </c>
      <c r="E3" s="464" t="s">
        <v>3</v>
      </c>
      <c r="F3" s="464" t="s">
        <v>4</v>
      </c>
      <c r="G3" s="464" t="s">
        <v>95</v>
      </c>
      <c r="H3" s="465" t="s">
        <v>11</v>
      </c>
      <c r="I3" s="464" t="s">
        <v>5</v>
      </c>
      <c r="J3" s="464" t="s">
        <v>6</v>
      </c>
      <c r="K3" s="464" t="s">
        <v>7</v>
      </c>
      <c r="L3" s="464" t="s">
        <v>96</v>
      </c>
      <c r="M3" s="465" t="s">
        <v>12</v>
      </c>
      <c r="N3" s="464" t="s">
        <v>8</v>
      </c>
      <c r="O3" s="466" t="s">
        <v>9</v>
      </c>
      <c r="P3" s="467" t="s">
        <v>10</v>
      </c>
      <c r="Q3" s="446" t="s">
        <v>86</v>
      </c>
      <c r="R3" s="446" t="s">
        <v>87</v>
      </c>
      <c r="S3" s="446" t="s">
        <v>88</v>
      </c>
      <c r="T3" s="446" t="s">
        <v>89</v>
      </c>
      <c r="U3" s="446" t="s">
        <v>90</v>
      </c>
      <c r="V3" s="446" t="s">
        <v>91</v>
      </c>
      <c r="W3" s="446" t="s">
        <v>227</v>
      </c>
    </row>
    <row r="4" spans="1:23" s="306" customFormat="1">
      <c r="A4" s="302" t="s">
        <v>62</v>
      </c>
      <c r="B4" s="303">
        <v>148</v>
      </c>
      <c r="C4" s="303">
        <v>11</v>
      </c>
      <c r="D4" s="303">
        <v>32</v>
      </c>
      <c r="E4" s="303">
        <v>846</v>
      </c>
      <c r="F4" s="303">
        <v>801</v>
      </c>
      <c r="G4" s="303">
        <v>3</v>
      </c>
      <c r="H4" s="304">
        <v>1841</v>
      </c>
      <c r="I4" s="305">
        <v>9028</v>
      </c>
      <c r="J4" s="303">
        <v>131</v>
      </c>
      <c r="K4" s="303">
        <v>290</v>
      </c>
      <c r="L4" s="303">
        <v>37</v>
      </c>
      <c r="M4" s="304">
        <v>9486</v>
      </c>
      <c r="N4" s="303">
        <v>0</v>
      </c>
      <c r="O4" s="303">
        <v>220</v>
      </c>
      <c r="P4" s="326">
        <f>H4+M4+N4+O4</f>
        <v>11547</v>
      </c>
      <c r="Q4" s="306">
        <f>SUM(B4,D4)</f>
        <v>180</v>
      </c>
      <c r="R4" s="306">
        <f>SUM(C4,E4,F4,G4)</f>
        <v>1661</v>
      </c>
      <c r="S4" s="307">
        <f>SUM(M4,N4,O4)</f>
        <v>9706</v>
      </c>
      <c r="T4" s="306">
        <f>(10*Q4)+(3*R4)+S4</f>
        <v>16489</v>
      </c>
      <c r="U4" s="308">
        <f>T4/($T$43+$T$57)</f>
        <v>1.0935268761190759E-2</v>
      </c>
      <c r="V4" s="306">
        <f>SUM(Q4:S4)</f>
        <v>11547</v>
      </c>
      <c r="W4" s="307">
        <f>P4-V4</f>
        <v>0</v>
      </c>
    </row>
    <row r="5" spans="1:23" s="306" customFormat="1">
      <c r="A5" s="302" t="s">
        <v>84</v>
      </c>
      <c r="B5" s="305">
        <v>1607</v>
      </c>
      <c r="C5" s="303">
        <v>6</v>
      </c>
      <c r="D5" s="303">
        <v>99</v>
      </c>
      <c r="E5" s="305">
        <v>1330</v>
      </c>
      <c r="F5" s="303">
        <v>900</v>
      </c>
      <c r="G5" s="303">
        <v>5</v>
      </c>
      <c r="H5" s="304">
        <v>3946</v>
      </c>
      <c r="I5" s="305">
        <v>7918</v>
      </c>
      <c r="J5" s="303">
        <v>20</v>
      </c>
      <c r="K5" s="303">
        <v>30</v>
      </c>
      <c r="L5" s="303">
        <v>28</v>
      </c>
      <c r="M5" s="304">
        <v>7996</v>
      </c>
      <c r="N5" s="303">
        <v>45</v>
      </c>
      <c r="O5" s="303">
        <v>128</v>
      </c>
      <c r="P5" s="326">
        <f t="shared" ref="P5:P42" si="0">H5+M5+N5+O5</f>
        <v>12115</v>
      </c>
      <c r="Q5" s="307">
        <f>SUM(B5,D5)</f>
        <v>1706</v>
      </c>
      <c r="R5" s="306">
        <f t="shared" ref="R5:R42" si="1">SUM(C5,E5,F5,G5)</f>
        <v>2241</v>
      </c>
      <c r="S5" s="307">
        <f t="shared" ref="S5:S42" si="2">SUM(M5,N5,O5)</f>
        <v>8169</v>
      </c>
      <c r="T5" s="306">
        <f t="shared" ref="T5:T42" si="3">(10*Q5)+(3*R5)+S5</f>
        <v>31952</v>
      </c>
      <c r="U5" s="308">
        <f t="shared" ref="U5:U42" si="4">T5/($T$43+$T$57)</f>
        <v>2.119010900949525E-2</v>
      </c>
      <c r="V5" s="307">
        <f t="shared" ref="V5:V42" si="5">SUM(Q5:S5)</f>
        <v>12116</v>
      </c>
      <c r="W5" s="307">
        <f t="shared" ref="W5:W42" si="6">P5-V5</f>
        <v>-1</v>
      </c>
    </row>
    <row r="6" spans="1:23" s="306" customFormat="1">
      <c r="A6" s="302" t="s">
        <v>35</v>
      </c>
      <c r="B6" s="303">
        <v>86</v>
      </c>
      <c r="C6" s="303">
        <v>50</v>
      </c>
      <c r="D6" s="303">
        <v>6</v>
      </c>
      <c r="E6" s="305">
        <v>1219</v>
      </c>
      <c r="F6" s="303">
        <v>208</v>
      </c>
      <c r="G6" s="303">
        <v>0</v>
      </c>
      <c r="H6" s="304">
        <v>1569</v>
      </c>
      <c r="I6" s="305">
        <v>3109</v>
      </c>
      <c r="J6" s="303">
        <v>2</v>
      </c>
      <c r="K6" s="303">
        <v>3</v>
      </c>
      <c r="L6" s="303">
        <v>0</v>
      </c>
      <c r="M6" s="304">
        <v>3115</v>
      </c>
      <c r="N6" s="303">
        <v>136</v>
      </c>
      <c r="O6" s="303">
        <v>607</v>
      </c>
      <c r="P6" s="326">
        <f t="shared" si="0"/>
        <v>5427</v>
      </c>
      <c r="Q6" s="306">
        <f t="shared" ref="Q6:Q42" si="7">SUM(B6,D6)</f>
        <v>92</v>
      </c>
      <c r="R6" s="306">
        <f t="shared" si="1"/>
        <v>1477</v>
      </c>
      <c r="S6" s="307">
        <f t="shared" si="2"/>
        <v>3858</v>
      </c>
      <c r="T6" s="306">
        <f t="shared" si="3"/>
        <v>9209</v>
      </c>
      <c r="U6" s="308">
        <f t="shared" si="4"/>
        <v>6.1072769738495791E-3</v>
      </c>
      <c r="V6" s="307">
        <f t="shared" si="5"/>
        <v>5427</v>
      </c>
      <c r="W6" s="307">
        <f t="shared" si="6"/>
        <v>0</v>
      </c>
    </row>
    <row r="7" spans="1:23" s="306" customFormat="1">
      <c r="A7" s="302" t="s">
        <v>36</v>
      </c>
      <c r="B7" s="303">
        <v>147</v>
      </c>
      <c r="C7" s="303">
        <v>10</v>
      </c>
      <c r="D7" s="303">
        <v>29</v>
      </c>
      <c r="E7" s="305">
        <v>2952</v>
      </c>
      <c r="F7" s="305">
        <v>1043</v>
      </c>
      <c r="G7" s="303">
        <v>26</v>
      </c>
      <c r="H7" s="304">
        <v>4206</v>
      </c>
      <c r="I7" s="305">
        <v>6972</v>
      </c>
      <c r="J7" s="303">
        <v>29</v>
      </c>
      <c r="K7" s="303">
        <v>146</v>
      </c>
      <c r="L7" s="303">
        <v>47</v>
      </c>
      <c r="M7" s="304">
        <v>7193</v>
      </c>
      <c r="N7" s="303">
        <v>545</v>
      </c>
      <c r="O7" s="303">
        <v>50</v>
      </c>
      <c r="P7" s="326">
        <f t="shared" si="0"/>
        <v>11994</v>
      </c>
      <c r="Q7" s="306">
        <f t="shared" si="7"/>
        <v>176</v>
      </c>
      <c r="R7" s="306">
        <f t="shared" si="1"/>
        <v>4031</v>
      </c>
      <c r="S7" s="307">
        <f t="shared" si="2"/>
        <v>7788</v>
      </c>
      <c r="T7" s="306">
        <f t="shared" si="3"/>
        <v>21641</v>
      </c>
      <c r="U7" s="308">
        <f t="shared" si="4"/>
        <v>1.4352001410693749E-2</v>
      </c>
      <c r="V7" s="307">
        <f t="shared" si="5"/>
        <v>11995</v>
      </c>
      <c r="W7" s="307">
        <f t="shared" si="6"/>
        <v>-1</v>
      </c>
    </row>
    <row r="8" spans="1:23" s="306" customFormat="1">
      <c r="A8" s="302" t="s">
        <v>57</v>
      </c>
      <c r="B8" s="303">
        <v>129</v>
      </c>
      <c r="C8" s="303">
        <v>7</v>
      </c>
      <c r="D8" s="303">
        <v>22</v>
      </c>
      <c r="E8" s="303">
        <v>152</v>
      </c>
      <c r="F8" s="303">
        <v>268</v>
      </c>
      <c r="G8" s="303">
        <v>1</v>
      </c>
      <c r="H8" s="309">
        <v>579</v>
      </c>
      <c r="I8" s="305">
        <v>2631</v>
      </c>
      <c r="J8" s="303">
        <v>15</v>
      </c>
      <c r="K8" s="303">
        <v>9</v>
      </c>
      <c r="L8" s="303">
        <v>19</v>
      </c>
      <c r="M8" s="304">
        <v>2674</v>
      </c>
      <c r="N8" s="303">
        <v>319</v>
      </c>
      <c r="O8" s="303">
        <v>16</v>
      </c>
      <c r="P8" s="326">
        <f t="shared" si="0"/>
        <v>3588</v>
      </c>
      <c r="Q8" s="306">
        <f t="shared" si="7"/>
        <v>151</v>
      </c>
      <c r="R8" s="306">
        <f t="shared" si="1"/>
        <v>428</v>
      </c>
      <c r="S8" s="307">
        <f t="shared" si="2"/>
        <v>3009</v>
      </c>
      <c r="T8" s="306">
        <f t="shared" si="3"/>
        <v>5803</v>
      </c>
      <c r="U8" s="308">
        <f t="shared" si="4"/>
        <v>3.8484665304863836E-3</v>
      </c>
      <c r="V8" s="307">
        <f t="shared" si="5"/>
        <v>3588</v>
      </c>
      <c r="W8" s="307">
        <f t="shared" si="6"/>
        <v>0</v>
      </c>
    </row>
    <row r="9" spans="1:23" s="306" customFormat="1">
      <c r="A9" s="302" t="s">
        <v>14</v>
      </c>
      <c r="B9" s="303">
        <v>273</v>
      </c>
      <c r="C9" s="303">
        <v>28</v>
      </c>
      <c r="D9" s="303">
        <v>15</v>
      </c>
      <c r="E9" s="305">
        <v>1762</v>
      </c>
      <c r="F9" s="303">
        <v>814</v>
      </c>
      <c r="G9" s="303">
        <v>2</v>
      </c>
      <c r="H9" s="304">
        <v>2892</v>
      </c>
      <c r="I9" s="305">
        <v>12606</v>
      </c>
      <c r="J9" s="305">
        <v>1883</v>
      </c>
      <c r="K9" s="303">
        <v>21</v>
      </c>
      <c r="L9" s="303">
        <v>55</v>
      </c>
      <c r="M9" s="304">
        <v>14565</v>
      </c>
      <c r="N9" s="303">
        <v>161</v>
      </c>
      <c r="O9" s="303">
        <v>136</v>
      </c>
      <c r="P9" s="326">
        <f t="shared" si="0"/>
        <v>17754</v>
      </c>
      <c r="Q9" s="306">
        <f t="shared" si="7"/>
        <v>288</v>
      </c>
      <c r="R9" s="306">
        <f t="shared" si="1"/>
        <v>2606</v>
      </c>
      <c r="S9" s="307">
        <f t="shared" si="2"/>
        <v>14862</v>
      </c>
      <c r="T9" s="306">
        <f t="shared" si="3"/>
        <v>25560</v>
      </c>
      <c r="U9" s="308">
        <f t="shared" si="4"/>
        <v>1.6951026110500079E-2</v>
      </c>
      <c r="V9" s="307">
        <f t="shared" si="5"/>
        <v>17756</v>
      </c>
      <c r="W9" s="307">
        <f t="shared" si="6"/>
        <v>-2</v>
      </c>
    </row>
    <row r="10" spans="1:23" s="306" customFormat="1">
      <c r="A10" s="302" t="s">
        <v>44</v>
      </c>
      <c r="B10" s="303">
        <v>916</v>
      </c>
      <c r="C10" s="303">
        <v>0</v>
      </c>
      <c r="D10" s="303">
        <v>150</v>
      </c>
      <c r="E10" s="305">
        <v>2649</v>
      </c>
      <c r="F10" s="305">
        <v>1034</v>
      </c>
      <c r="G10" s="303">
        <v>15</v>
      </c>
      <c r="H10" s="304">
        <v>4764</v>
      </c>
      <c r="I10" s="305">
        <v>22795</v>
      </c>
      <c r="J10" s="303">
        <v>232</v>
      </c>
      <c r="K10" s="303">
        <v>123</v>
      </c>
      <c r="L10" s="303">
        <v>25</v>
      </c>
      <c r="M10" s="304">
        <v>23174</v>
      </c>
      <c r="N10" s="303">
        <v>183</v>
      </c>
      <c r="O10" s="303">
        <v>320</v>
      </c>
      <c r="P10" s="326">
        <f t="shared" si="0"/>
        <v>28441</v>
      </c>
      <c r="Q10" s="306">
        <f t="shared" si="7"/>
        <v>1066</v>
      </c>
      <c r="R10" s="306">
        <f t="shared" si="1"/>
        <v>3698</v>
      </c>
      <c r="S10" s="307">
        <f t="shared" si="2"/>
        <v>23677</v>
      </c>
      <c r="T10" s="306">
        <f t="shared" si="3"/>
        <v>45431</v>
      </c>
      <c r="U10" s="308">
        <f t="shared" si="4"/>
        <v>3.0129188858612252E-2</v>
      </c>
      <c r="V10" s="307">
        <f t="shared" si="5"/>
        <v>28441</v>
      </c>
      <c r="W10" s="307">
        <f t="shared" si="6"/>
        <v>0</v>
      </c>
    </row>
    <row r="11" spans="1:23" s="306" customFormat="1">
      <c r="A11" s="302" t="s">
        <v>63</v>
      </c>
      <c r="B11" s="303">
        <v>571</v>
      </c>
      <c r="C11" s="303">
        <v>9</v>
      </c>
      <c r="D11" s="303">
        <v>40</v>
      </c>
      <c r="E11" s="305">
        <v>3052</v>
      </c>
      <c r="F11" s="305">
        <v>1146</v>
      </c>
      <c r="G11" s="303">
        <v>13</v>
      </c>
      <c r="H11" s="304">
        <v>4831</v>
      </c>
      <c r="I11" s="305">
        <v>20436</v>
      </c>
      <c r="J11" s="303">
        <v>15</v>
      </c>
      <c r="K11" s="303">
        <v>50</v>
      </c>
      <c r="L11" s="303">
        <v>50</v>
      </c>
      <c r="M11" s="304">
        <v>20550</v>
      </c>
      <c r="N11" s="303">
        <v>0</v>
      </c>
      <c r="O11" s="303">
        <v>195</v>
      </c>
      <c r="P11" s="326">
        <f t="shared" si="0"/>
        <v>25576</v>
      </c>
      <c r="Q11" s="306">
        <f t="shared" si="7"/>
        <v>611</v>
      </c>
      <c r="R11" s="306">
        <f t="shared" si="1"/>
        <v>4220</v>
      </c>
      <c r="S11" s="307">
        <f t="shared" si="2"/>
        <v>20745</v>
      </c>
      <c r="T11" s="306">
        <f t="shared" si="3"/>
        <v>39515</v>
      </c>
      <c r="U11" s="308">
        <f t="shared" si="4"/>
        <v>2.6205782345712469E-2</v>
      </c>
      <c r="V11" s="307">
        <f t="shared" si="5"/>
        <v>25576</v>
      </c>
      <c r="W11" s="307">
        <f t="shared" si="6"/>
        <v>0</v>
      </c>
    </row>
    <row r="12" spans="1:23" s="306" customFormat="1">
      <c r="A12" s="302" t="s">
        <v>45</v>
      </c>
      <c r="B12" s="303">
        <v>265</v>
      </c>
      <c r="C12" s="303">
        <v>30</v>
      </c>
      <c r="D12" s="303">
        <v>73</v>
      </c>
      <c r="E12" s="305">
        <v>1811</v>
      </c>
      <c r="F12" s="303">
        <v>983</v>
      </c>
      <c r="G12" s="303">
        <v>7</v>
      </c>
      <c r="H12" s="304">
        <v>3170</v>
      </c>
      <c r="I12" s="305">
        <v>11716</v>
      </c>
      <c r="J12" s="303">
        <v>31</v>
      </c>
      <c r="K12" s="303">
        <v>73</v>
      </c>
      <c r="L12" s="303">
        <v>46</v>
      </c>
      <c r="M12" s="304">
        <v>11866</v>
      </c>
      <c r="N12" s="303">
        <v>499</v>
      </c>
      <c r="O12" s="303">
        <v>10</v>
      </c>
      <c r="P12" s="326">
        <f t="shared" si="0"/>
        <v>15545</v>
      </c>
      <c r="Q12" s="306">
        <f t="shared" si="7"/>
        <v>338</v>
      </c>
      <c r="R12" s="306">
        <f t="shared" si="1"/>
        <v>2831</v>
      </c>
      <c r="S12" s="307">
        <f t="shared" si="2"/>
        <v>12375</v>
      </c>
      <c r="T12" s="306">
        <f t="shared" si="3"/>
        <v>24248</v>
      </c>
      <c r="U12" s="308">
        <f t="shared" si="4"/>
        <v>1.6080926491682548E-2</v>
      </c>
      <c r="V12" s="307">
        <f t="shared" si="5"/>
        <v>15544</v>
      </c>
      <c r="W12" s="307">
        <f t="shared" si="6"/>
        <v>1</v>
      </c>
    </row>
    <row r="13" spans="1:23" s="306" customFormat="1">
      <c r="A13" s="302" t="s">
        <v>74</v>
      </c>
      <c r="B13" s="303">
        <v>517</v>
      </c>
      <c r="C13" s="303">
        <v>27</v>
      </c>
      <c r="D13" s="303">
        <v>56</v>
      </c>
      <c r="E13" s="305">
        <v>1166</v>
      </c>
      <c r="F13" s="303">
        <v>486</v>
      </c>
      <c r="G13" s="303">
        <v>6</v>
      </c>
      <c r="H13" s="304">
        <v>2259</v>
      </c>
      <c r="I13" s="305">
        <v>9027</v>
      </c>
      <c r="J13" s="303">
        <v>0</v>
      </c>
      <c r="K13" s="303">
        <v>205</v>
      </c>
      <c r="L13" s="303">
        <v>88</v>
      </c>
      <c r="M13" s="304">
        <v>9319</v>
      </c>
      <c r="N13" s="303">
        <v>0</v>
      </c>
      <c r="O13" s="303">
        <v>44</v>
      </c>
      <c r="P13" s="326">
        <f t="shared" si="0"/>
        <v>11622</v>
      </c>
      <c r="Q13" s="306">
        <f t="shared" si="7"/>
        <v>573</v>
      </c>
      <c r="R13" s="306">
        <f t="shared" si="1"/>
        <v>1685</v>
      </c>
      <c r="S13" s="307">
        <f t="shared" si="2"/>
        <v>9363</v>
      </c>
      <c r="T13" s="306">
        <f t="shared" si="3"/>
        <v>20148</v>
      </c>
      <c r="U13" s="308">
        <f t="shared" si="4"/>
        <v>1.3361865182877764E-2</v>
      </c>
      <c r="V13" s="307">
        <f t="shared" si="5"/>
        <v>11621</v>
      </c>
      <c r="W13" s="307">
        <f t="shared" si="6"/>
        <v>1</v>
      </c>
    </row>
    <row r="14" spans="1:23" s="306" customFormat="1">
      <c r="A14" s="302" t="s">
        <v>37</v>
      </c>
      <c r="B14" s="303">
        <v>864</v>
      </c>
      <c r="C14" s="303">
        <v>18</v>
      </c>
      <c r="D14" s="303">
        <v>78</v>
      </c>
      <c r="E14" s="305">
        <v>3038</v>
      </c>
      <c r="F14" s="303">
        <v>934</v>
      </c>
      <c r="G14" s="303">
        <v>5</v>
      </c>
      <c r="H14" s="304">
        <v>4936</v>
      </c>
      <c r="I14" s="305">
        <v>22162</v>
      </c>
      <c r="J14" s="303">
        <v>0</v>
      </c>
      <c r="K14" s="303">
        <v>86</v>
      </c>
      <c r="L14" s="303">
        <v>21</v>
      </c>
      <c r="M14" s="304">
        <v>22270</v>
      </c>
      <c r="N14" s="303">
        <v>12</v>
      </c>
      <c r="O14" s="303">
        <v>526</v>
      </c>
      <c r="P14" s="326">
        <f t="shared" si="0"/>
        <v>27744</v>
      </c>
      <c r="Q14" s="306">
        <f t="shared" si="7"/>
        <v>942</v>
      </c>
      <c r="R14" s="306">
        <f t="shared" si="1"/>
        <v>3995</v>
      </c>
      <c r="S14" s="307">
        <f t="shared" si="2"/>
        <v>22808</v>
      </c>
      <c r="T14" s="306">
        <f t="shared" si="3"/>
        <v>44213</v>
      </c>
      <c r="U14" s="308">
        <f t="shared" si="4"/>
        <v>2.9321428694191708E-2</v>
      </c>
      <c r="V14" s="307">
        <f t="shared" si="5"/>
        <v>27745</v>
      </c>
      <c r="W14" s="307">
        <f t="shared" si="6"/>
        <v>-1</v>
      </c>
    </row>
    <row r="15" spans="1:23" s="306" customFormat="1">
      <c r="A15" s="302" t="s">
        <v>38</v>
      </c>
      <c r="B15" s="303">
        <v>454</v>
      </c>
      <c r="C15" s="303">
        <v>39</v>
      </c>
      <c r="D15" s="303">
        <v>71</v>
      </c>
      <c r="E15" s="305">
        <v>1559</v>
      </c>
      <c r="F15" s="303">
        <v>361</v>
      </c>
      <c r="G15" s="303">
        <v>7</v>
      </c>
      <c r="H15" s="304">
        <v>2490</v>
      </c>
      <c r="I15" s="305">
        <v>8794</v>
      </c>
      <c r="J15" s="303">
        <v>0</v>
      </c>
      <c r="K15" s="303">
        <v>88</v>
      </c>
      <c r="L15" s="303">
        <v>16</v>
      </c>
      <c r="M15" s="304">
        <v>8898</v>
      </c>
      <c r="N15" s="303">
        <v>72</v>
      </c>
      <c r="O15" s="303">
        <v>301</v>
      </c>
      <c r="P15" s="326">
        <f t="shared" si="0"/>
        <v>11761</v>
      </c>
      <c r="Q15" s="306">
        <f t="shared" si="7"/>
        <v>525</v>
      </c>
      <c r="R15" s="306">
        <f t="shared" si="1"/>
        <v>1966</v>
      </c>
      <c r="S15" s="307">
        <f t="shared" si="2"/>
        <v>9271</v>
      </c>
      <c r="T15" s="306">
        <f t="shared" si="3"/>
        <v>20419</v>
      </c>
      <c r="U15" s="308">
        <f t="shared" si="4"/>
        <v>1.3541588503532908E-2</v>
      </c>
      <c r="V15" s="307">
        <f t="shared" si="5"/>
        <v>11762</v>
      </c>
      <c r="W15" s="307">
        <f t="shared" si="6"/>
        <v>-1</v>
      </c>
    </row>
    <row r="16" spans="1:23" s="306" customFormat="1">
      <c r="A16" s="302" t="s">
        <v>26</v>
      </c>
      <c r="B16" s="303">
        <v>756</v>
      </c>
      <c r="C16" s="303">
        <v>15</v>
      </c>
      <c r="D16" s="303">
        <v>120</v>
      </c>
      <c r="E16" s="305">
        <v>2267</v>
      </c>
      <c r="F16" s="305">
        <v>1577</v>
      </c>
      <c r="G16" s="303">
        <v>11</v>
      </c>
      <c r="H16" s="304">
        <v>4747</v>
      </c>
      <c r="I16" s="305">
        <v>17506</v>
      </c>
      <c r="J16" s="303">
        <v>0</v>
      </c>
      <c r="K16" s="303">
        <v>22</v>
      </c>
      <c r="L16" s="303">
        <v>65</v>
      </c>
      <c r="M16" s="304">
        <v>17592</v>
      </c>
      <c r="N16" s="303">
        <v>6</v>
      </c>
      <c r="O16" s="303">
        <v>42</v>
      </c>
      <c r="P16" s="326">
        <f t="shared" si="0"/>
        <v>22387</v>
      </c>
      <c r="Q16" s="306">
        <f t="shared" si="7"/>
        <v>876</v>
      </c>
      <c r="R16" s="306">
        <f t="shared" si="1"/>
        <v>3870</v>
      </c>
      <c r="S16" s="307">
        <f t="shared" si="2"/>
        <v>17640</v>
      </c>
      <c r="T16" s="306">
        <f t="shared" si="3"/>
        <v>38010</v>
      </c>
      <c r="U16" s="308">
        <f t="shared" si="4"/>
        <v>2.520768788967559E-2</v>
      </c>
      <c r="V16" s="307">
        <f t="shared" si="5"/>
        <v>22386</v>
      </c>
      <c r="W16" s="307">
        <f t="shared" si="6"/>
        <v>1</v>
      </c>
    </row>
    <row r="17" spans="1:23" s="306" customFormat="1">
      <c r="A17" s="302" t="s">
        <v>15</v>
      </c>
      <c r="B17" s="305">
        <v>1070</v>
      </c>
      <c r="C17" s="303">
        <v>0</v>
      </c>
      <c r="D17" s="303">
        <v>79</v>
      </c>
      <c r="E17" s="305">
        <v>3936</v>
      </c>
      <c r="F17" s="305">
        <v>1010</v>
      </c>
      <c r="G17" s="303">
        <v>2</v>
      </c>
      <c r="H17" s="304">
        <v>6097</v>
      </c>
      <c r="I17" s="305">
        <v>15514</v>
      </c>
      <c r="J17" s="303">
        <v>0</v>
      </c>
      <c r="K17" s="303">
        <v>70</v>
      </c>
      <c r="L17" s="303">
        <v>16</v>
      </c>
      <c r="M17" s="304">
        <v>15600</v>
      </c>
      <c r="N17" s="303">
        <v>56</v>
      </c>
      <c r="O17" s="303">
        <v>728</v>
      </c>
      <c r="P17" s="326">
        <f t="shared" si="0"/>
        <v>22481</v>
      </c>
      <c r="Q17" s="306">
        <f t="shared" si="7"/>
        <v>1149</v>
      </c>
      <c r="R17" s="306">
        <f t="shared" si="1"/>
        <v>4948</v>
      </c>
      <c r="S17" s="307">
        <f t="shared" si="2"/>
        <v>16384</v>
      </c>
      <c r="T17" s="306">
        <f t="shared" si="3"/>
        <v>42718</v>
      </c>
      <c r="U17" s="308">
        <f t="shared" si="4"/>
        <v>2.8329966095005574E-2</v>
      </c>
      <c r="V17" s="307">
        <f t="shared" si="5"/>
        <v>22481</v>
      </c>
      <c r="W17" s="307">
        <f t="shared" si="6"/>
        <v>0</v>
      </c>
    </row>
    <row r="18" spans="1:23" s="306" customFormat="1">
      <c r="A18" s="302" t="s">
        <v>28</v>
      </c>
      <c r="B18" s="305">
        <v>1938</v>
      </c>
      <c r="C18" s="303">
        <v>0</v>
      </c>
      <c r="D18" s="303">
        <v>433</v>
      </c>
      <c r="E18" s="305">
        <v>5043</v>
      </c>
      <c r="F18" s="305">
        <v>1500</v>
      </c>
      <c r="G18" s="303">
        <v>13</v>
      </c>
      <c r="H18" s="304">
        <v>8927</v>
      </c>
      <c r="I18" s="305">
        <v>33279</v>
      </c>
      <c r="J18" s="303">
        <v>27</v>
      </c>
      <c r="K18" s="303">
        <v>214</v>
      </c>
      <c r="L18" s="303">
        <v>63</v>
      </c>
      <c r="M18" s="304">
        <v>33584</v>
      </c>
      <c r="N18" s="303">
        <v>0</v>
      </c>
      <c r="O18" s="303">
        <v>314</v>
      </c>
      <c r="P18" s="326">
        <f t="shared" si="0"/>
        <v>42825</v>
      </c>
      <c r="Q18" s="306">
        <f t="shared" si="7"/>
        <v>2371</v>
      </c>
      <c r="R18" s="306">
        <f t="shared" si="1"/>
        <v>6556</v>
      </c>
      <c r="S18" s="307">
        <f t="shared" si="2"/>
        <v>33898</v>
      </c>
      <c r="T18" s="306">
        <f t="shared" si="3"/>
        <v>77276</v>
      </c>
      <c r="U18" s="308">
        <f t="shared" si="4"/>
        <v>5.124833699980455E-2</v>
      </c>
      <c r="V18" s="307">
        <f t="shared" si="5"/>
        <v>42825</v>
      </c>
      <c r="W18" s="307">
        <f t="shared" si="6"/>
        <v>0</v>
      </c>
    </row>
    <row r="19" spans="1:23" s="306" customFormat="1">
      <c r="A19" s="302" t="s">
        <v>46</v>
      </c>
      <c r="B19" s="303">
        <v>581</v>
      </c>
      <c r="C19" s="303">
        <v>14</v>
      </c>
      <c r="D19" s="303">
        <v>73</v>
      </c>
      <c r="E19" s="303">
        <v>534</v>
      </c>
      <c r="F19" s="303">
        <v>580</v>
      </c>
      <c r="G19" s="303">
        <v>8</v>
      </c>
      <c r="H19" s="304">
        <v>1791</v>
      </c>
      <c r="I19" s="305">
        <v>9756</v>
      </c>
      <c r="J19" s="303">
        <v>0</v>
      </c>
      <c r="K19" s="303">
        <v>0</v>
      </c>
      <c r="L19" s="303">
        <v>20</v>
      </c>
      <c r="M19" s="304">
        <v>9776</v>
      </c>
      <c r="N19" s="303">
        <v>64</v>
      </c>
      <c r="O19" s="303">
        <v>135</v>
      </c>
      <c r="P19" s="326">
        <f t="shared" si="0"/>
        <v>11766</v>
      </c>
      <c r="Q19" s="306">
        <f t="shared" si="7"/>
        <v>654</v>
      </c>
      <c r="R19" s="306">
        <f t="shared" si="1"/>
        <v>1136</v>
      </c>
      <c r="S19" s="307">
        <f t="shared" si="2"/>
        <v>9975</v>
      </c>
      <c r="T19" s="306">
        <f t="shared" si="3"/>
        <v>19923</v>
      </c>
      <c r="U19" s="308">
        <f t="shared" si="4"/>
        <v>1.3212648403736036E-2</v>
      </c>
      <c r="V19" s="307">
        <f t="shared" si="5"/>
        <v>11765</v>
      </c>
      <c r="W19" s="307">
        <f t="shared" si="6"/>
        <v>1</v>
      </c>
    </row>
    <row r="20" spans="1:23" s="306" customFormat="1">
      <c r="A20" s="302" t="s">
        <v>39</v>
      </c>
      <c r="B20" s="303">
        <v>902</v>
      </c>
      <c r="C20" s="303">
        <v>21</v>
      </c>
      <c r="D20" s="303">
        <v>239</v>
      </c>
      <c r="E20" s="305">
        <v>1981</v>
      </c>
      <c r="F20" s="305">
        <v>1382</v>
      </c>
      <c r="G20" s="303">
        <v>5</v>
      </c>
      <c r="H20" s="304">
        <v>4529</v>
      </c>
      <c r="I20" s="305">
        <v>23768</v>
      </c>
      <c r="J20" s="303">
        <v>0</v>
      </c>
      <c r="K20" s="303">
        <v>436</v>
      </c>
      <c r="L20" s="303">
        <v>38</v>
      </c>
      <c r="M20" s="304">
        <v>24242</v>
      </c>
      <c r="N20" s="303">
        <v>0</v>
      </c>
      <c r="O20" s="303">
        <v>124</v>
      </c>
      <c r="P20" s="326">
        <f t="shared" si="0"/>
        <v>28895</v>
      </c>
      <c r="Q20" s="306">
        <f t="shared" si="7"/>
        <v>1141</v>
      </c>
      <c r="R20" s="306">
        <f t="shared" si="1"/>
        <v>3389</v>
      </c>
      <c r="S20" s="307">
        <f t="shared" si="2"/>
        <v>24366</v>
      </c>
      <c r="T20" s="306">
        <f t="shared" si="3"/>
        <v>45943</v>
      </c>
      <c r="U20" s="308">
        <f t="shared" si="4"/>
        <v>3.0468739929370312E-2</v>
      </c>
      <c r="V20" s="307">
        <f t="shared" si="5"/>
        <v>28896</v>
      </c>
      <c r="W20" s="307">
        <f t="shared" si="6"/>
        <v>-1</v>
      </c>
    </row>
    <row r="21" spans="1:23" s="306" customFormat="1">
      <c r="A21" s="302" t="s">
        <v>29</v>
      </c>
      <c r="B21" s="303">
        <v>824</v>
      </c>
      <c r="C21" s="303">
        <v>9</v>
      </c>
      <c r="D21" s="303">
        <v>229</v>
      </c>
      <c r="E21" s="305">
        <v>4060</v>
      </c>
      <c r="F21" s="305">
        <v>1079</v>
      </c>
      <c r="G21" s="303">
        <v>5</v>
      </c>
      <c r="H21" s="304">
        <v>6206</v>
      </c>
      <c r="I21" s="305">
        <v>27414</v>
      </c>
      <c r="J21" s="303">
        <v>208</v>
      </c>
      <c r="K21" s="303">
        <v>651</v>
      </c>
      <c r="L21" s="303">
        <v>20</v>
      </c>
      <c r="M21" s="304">
        <v>28293</v>
      </c>
      <c r="N21" s="303">
        <v>0</v>
      </c>
      <c r="O21" s="303">
        <v>89</v>
      </c>
      <c r="P21" s="326">
        <f t="shared" si="0"/>
        <v>34588</v>
      </c>
      <c r="Q21" s="306">
        <f t="shared" si="7"/>
        <v>1053</v>
      </c>
      <c r="R21" s="306">
        <f t="shared" si="1"/>
        <v>5153</v>
      </c>
      <c r="S21" s="307">
        <f t="shared" si="2"/>
        <v>28382</v>
      </c>
      <c r="T21" s="306">
        <f t="shared" si="3"/>
        <v>54371</v>
      </c>
      <c r="U21" s="308">
        <f t="shared" si="4"/>
        <v>3.6058068883176836E-2</v>
      </c>
      <c r="V21" s="307">
        <f t="shared" si="5"/>
        <v>34588</v>
      </c>
      <c r="W21" s="307">
        <f t="shared" si="6"/>
        <v>0</v>
      </c>
    </row>
    <row r="22" spans="1:23" s="306" customFormat="1">
      <c r="A22" s="302" t="s">
        <v>16</v>
      </c>
      <c r="B22" s="303">
        <v>299</v>
      </c>
      <c r="C22" s="303">
        <v>0</v>
      </c>
      <c r="D22" s="303">
        <v>24</v>
      </c>
      <c r="E22" s="303">
        <v>942</v>
      </c>
      <c r="F22" s="303">
        <v>198</v>
      </c>
      <c r="G22" s="303">
        <v>3</v>
      </c>
      <c r="H22" s="304">
        <v>1466</v>
      </c>
      <c r="I22" s="305">
        <v>7428</v>
      </c>
      <c r="J22" s="303">
        <v>182</v>
      </c>
      <c r="K22" s="303">
        <v>0</v>
      </c>
      <c r="L22" s="303">
        <v>132</v>
      </c>
      <c r="M22" s="304">
        <v>7743</v>
      </c>
      <c r="N22" s="303">
        <v>165</v>
      </c>
      <c r="O22" s="303">
        <v>19</v>
      </c>
      <c r="P22" s="326">
        <f t="shared" si="0"/>
        <v>9393</v>
      </c>
      <c r="Q22" s="306">
        <f t="shared" si="7"/>
        <v>323</v>
      </c>
      <c r="R22" s="306">
        <f t="shared" si="1"/>
        <v>1143</v>
      </c>
      <c r="S22" s="307">
        <f t="shared" si="2"/>
        <v>7927</v>
      </c>
      <c r="T22" s="306">
        <f t="shared" si="3"/>
        <v>14586</v>
      </c>
      <c r="U22" s="308">
        <f t="shared" si="4"/>
        <v>9.6732264024942949E-3</v>
      </c>
      <c r="V22" s="307">
        <f t="shared" si="5"/>
        <v>9393</v>
      </c>
      <c r="W22" s="307">
        <f t="shared" si="6"/>
        <v>0</v>
      </c>
    </row>
    <row r="23" spans="1:23" s="306" customFormat="1">
      <c r="A23" s="302" t="s">
        <v>30</v>
      </c>
      <c r="B23" s="303">
        <v>474</v>
      </c>
      <c r="C23" s="303">
        <v>0</v>
      </c>
      <c r="D23" s="303">
        <v>43</v>
      </c>
      <c r="E23" s="305">
        <v>2321</v>
      </c>
      <c r="F23" s="303">
        <v>650</v>
      </c>
      <c r="G23" s="303">
        <v>3</v>
      </c>
      <c r="H23" s="304">
        <v>3491</v>
      </c>
      <c r="I23" s="305">
        <v>10471</v>
      </c>
      <c r="J23" s="303">
        <v>45</v>
      </c>
      <c r="K23" s="303">
        <v>0</v>
      </c>
      <c r="L23" s="303">
        <v>2</v>
      </c>
      <c r="M23" s="304">
        <v>10518</v>
      </c>
      <c r="N23" s="303">
        <v>0</v>
      </c>
      <c r="O23" s="303">
        <v>115</v>
      </c>
      <c r="P23" s="326">
        <f t="shared" si="0"/>
        <v>14124</v>
      </c>
      <c r="Q23" s="306">
        <f t="shared" si="7"/>
        <v>517</v>
      </c>
      <c r="R23" s="306">
        <f t="shared" si="1"/>
        <v>2974</v>
      </c>
      <c r="S23" s="307">
        <f t="shared" si="2"/>
        <v>10633</v>
      </c>
      <c r="T23" s="306">
        <f t="shared" si="3"/>
        <v>24725</v>
      </c>
      <c r="U23" s="308">
        <f t="shared" si="4"/>
        <v>1.639726606346301E-2</v>
      </c>
      <c r="V23" s="307">
        <f t="shared" si="5"/>
        <v>14124</v>
      </c>
      <c r="W23" s="307">
        <f t="shared" si="6"/>
        <v>0</v>
      </c>
    </row>
    <row r="24" spans="1:23" s="306" customFormat="1">
      <c r="A24" s="302" t="s">
        <v>75</v>
      </c>
      <c r="B24" s="305">
        <v>1151</v>
      </c>
      <c r="C24" s="303">
        <v>2</v>
      </c>
      <c r="D24" s="303">
        <v>118</v>
      </c>
      <c r="E24" s="305">
        <v>1791</v>
      </c>
      <c r="F24" s="303">
        <v>575</v>
      </c>
      <c r="G24" s="303">
        <v>11</v>
      </c>
      <c r="H24" s="304">
        <v>3648</v>
      </c>
      <c r="I24" s="305">
        <v>12684</v>
      </c>
      <c r="J24" s="303">
        <v>0</v>
      </c>
      <c r="K24" s="303">
        <v>87</v>
      </c>
      <c r="L24" s="303">
        <v>66</v>
      </c>
      <c r="M24" s="304">
        <v>12837</v>
      </c>
      <c r="N24" s="303">
        <v>27</v>
      </c>
      <c r="O24" s="303">
        <v>319</v>
      </c>
      <c r="P24" s="326">
        <f t="shared" si="0"/>
        <v>16831</v>
      </c>
      <c r="Q24" s="306">
        <f t="shared" si="7"/>
        <v>1269</v>
      </c>
      <c r="R24" s="306">
        <f t="shared" si="1"/>
        <v>2379</v>
      </c>
      <c r="S24" s="307">
        <f t="shared" si="2"/>
        <v>13183</v>
      </c>
      <c r="T24" s="306">
        <f t="shared" si="3"/>
        <v>33010</v>
      </c>
      <c r="U24" s="308">
        <f t="shared" si="4"/>
        <v>2.1891759464303898E-2</v>
      </c>
      <c r="V24" s="307">
        <f t="shared" si="5"/>
        <v>16831</v>
      </c>
      <c r="W24" s="307">
        <f t="shared" si="6"/>
        <v>0</v>
      </c>
    </row>
    <row r="25" spans="1:23" s="306" customFormat="1">
      <c r="A25" s="302" t="s">
        <v>32</v>
      </c>
      <c r="B25" s="303">
        <v>115</v>
      </c>
      <c r="C25" s="303">
        <v>0</v>
      </c>
      <c r="D25" s="303">
        <v>26</v>
      </c>
      <c r="E25" s="305">
        <v>4354</v>
      </c>
      <c r="F25" s="303">
        <v>701</v>
      </c>
      <c r="G25" s="303">
        <v>0</v>
      </c>
      <c r="H25" s="304">
        <v>5195</v>
      </c>
      <c r="I25" s="305">
        <v>4700</v>
      </c>
      <c r="J25" s="303">
        <v>0</v>
      </c>
      <c r="K25" s="303">
        <v>0</v>
      </c>
      <c r="L25" s="303">
        <v>2</v>
      </c>
      <c r="M25" s="304">
        <v>4702</v>
      </c>
      <c r="N25" s="303">
        <v>26</v>
      </c>
      <c r="O25" s="303">
        <v>113</v>
      </c>
      <c r="P25" s="326">
        <f t="shared" si="0"/>
        <v>10036</v>
      </c>
      <c r="Q25" s="306">
        <f t="shared" si="7"/>
        <v>141</v>
      </c>
      <c r="R25" s="306">
        <f t="shared" si="1"/>
        <v>5055</v>
      </c>
      <c r="S25" s="307">
        <f t="shared" si="2"/>
        <v>4841</v>
      </c>
      <c r="T25" s="306">
        <f t="shared" si="3"/>
        <v>21416</v>
      </c>
      <c r="U25" s="308">
        <f t="shared" si="4"/>
        <v>1.4202784631552024E-2</v>
      </c>
      <c r="V25" s="307">
        <f t="shared" si="5"/>
        <v>10037</v>
      </c>
      <c r="W25" s="307">
        <f t="shared" si="6"/>
        <v>-1</v>
      </c>
    </row>
    <row r="26" spans="1:23" s="306" customFormat="1">
      <c r="A26" s="302" t="s">
        <v>60</v>
      </c>
      <c r="B26" s="303">
        <v>149</v>
      </c>
      <c r="C26" s="303">
        <v>1</v>
      </c>
      <c r="D26" s="303">
        <v>25</v>
      </c>
      <c r="E26" s="305">
        <v>1053</v>
      </c>
      <c r="F26" s="303">
        <v>370</v>
      </c>
      <c r="G26" s="303">
        <v>1</v>
      </c>
      <c r="H26" s="304">
        <v>1599</v>
      </c>
      <c r="I26" s="305">
        <v>5546</v>
      </c>
      <c r="J26" s="303">
        <v>0</v>
      </c>
      <c r="K26" s="303">
        <v>222</v>
      </c>
      <c r="L26" s="303">
        <v>8</v>
      </c>
      <c r="M26" s="304">
        <v>5775</v>
      </c>
      <c r="N26" s="303">
        <v>75</v>
      </c>
      <c r="O26" s="303">
        <v>50</v>
      </c>
      <c r="P26" s="326">
        <f t="shared" si="0"/>
        <v>7499</v>
      </c>
      <c r="Q26" s="306">
        <f t="shared" si="7"/>
        <v>174</v>
      </c>
      <c r="R26" s="306">
        <f t="shared" si="1"/>
        <v>1425</v>
      </c>
      <c r="S26" s="307">
        <f t="shared" si="2"/>
        <v>5900</v>
      </c>
      <c r="T26" s="306">
        <f t="shared" si="3"/>
        <v>11915</v>
      </c>
      <c r="U26" s="308">
        <f t="shared" si="4"/>
        <v>7.9018574376607375E-3</v>
      </c>
      <c r="V26" s="307">
        <f t="shared" si="5"/>
        <v>7499</v>
      </c>
      <c r="W26" s="307">
        <f t="shared" si="6"/>
        <v>0</v>
      </c>
    </row>
    <row r="27" spans="1:23" s="306" customFormat="1">
      <c r="A27" s="302" t="s">
        <v>76</v>
      </c>
      <c r="B27" s="305">
        <v>2615</v>
      </c>
      <c r="C27" s="303">
        <v>69</v>
      </c>
      <c r="D27" s="303">
        <v>553</v>
      </c>
      <c r="E27" s="305">
        <v>5322</v>
      </c>
      <c r="F27" s="305">
        <v>1325</v>
      </c>
      <c r="G27" s="303">
        <v>30</v>
      </c>
      <c r="H27" s="304">
        <v>9914</v>
      </c>
      <c r="I27" s="305">
        <v>25012</v>
      </c>
      <c r="J27" s="303">
        <v>89</v>
      </c>
      <c r="K27" s="303">
        <v>169</v>
      </c>
      <c r="L27" s="303">
        <v>56</v>
      </c>
      <c r="M27" s="304">
        <v>25326</v>
      </c>
      <c r="N27" s="303">
        <v>1</v>
      </c>
      <c r="O27" s="303">
        <v>247</v>
      </c>
      <c r="P27" s="326">
        <f t="shared" si="0"/>
        <v>35488</v>
      </c>
      <c r="Q27" s="306">
        <f t="shared" si="7"/>
        <v>3168</v>
      </c>
      <c r="R27" s="306">
        <f t="shared" si="1"/>
        <v>6746</v>
      </c>
      <c r="S27" s="307">
        <f t="shared" si="2"/>
        <v>25574</v>
      </c>
      <c r="T27" s="306">
        <f t="shared" si="3"/>
        <v>77492</v>
      </c>
      <c r="U27" s="308">
        <f t="shared" si="4"/>
        <v>5.1391585107780607E-2</v>
      </c>
      <c r="V27" s="307">
        <f t="shared" si="5"/>
        <v>35488</v>
      </c>
      <c r="W27" s="307">
        <f t="shared" si="6"/>
        <v>0</v>
      </c>
    </row>
    <row r="28" spans="1:23" s="306" customFormat="1">
      <c r="A28" s="302" t="s">
        <v>77</v>
      </c>
      <c r="B28" s="303">
        <v>294</v>
      </c>
      <c r="C28" s="303">
        <v>2</v>
      </c>
      <c r="D28" s="303">
        <v>72</v>
      </c>
      <c r="E28" s="303">
        <v>753</v>
      </c>
      <c r="F28" s="303">
        <v>933</v>
      </c>
      <c r="G28" s="303">
        <v>2</v>
      </c>
      <c r="H28" s="304">
        <v>2056</v>
      </c>
      <c r="I28" s="305">
        <v>6431</v>
      </c>
      <c r="J28" s="303">
        <v>0</v>
      </c>
      <c r="K28" s="303">
        <v>151</v>
      </c>
      <c r="L28" s="303">
        <v>79</v>
      </c>
      <c r="M28" s="304">
        <v>6660</v>
      </c>
      <c r="N28" s="303">
        <v>123</v>
      </c>
      <c r="O28" s="303">
        <v>46</v>
      </c>
      <c r="P28" s="326">
        <f t="shared" si="0"/>
        <v>8885</v>
      </c>
      <c r="Q28" s="306">
        <f t="shared" si="7"/>
        <v>366</v>
      </c>
      <c r="R28" s="306">
        <f t="shared" si="1"/>
        <v>1690</v>
      </c>
      <c r="S28" s="307">
        <f t="shared" si="2"/>
        <v>6829</v>
      </c>
      <c r="T28" s="306">
        <f t="shared" si="3"/>
        <v>15559</v>
      </c>
      <c r="U28" s="308">
        <f t="shared" si="4"/>
        <v>1.0318506074071625E-2</v>
      </c>
      <c r="V28" s="307">
        <f t="shared" si="5"/>
        <v>8885</v>
      </c>
      <c r="W28" s="307">
        <f t="shared" si="6"/>
        <v>0</v>
      </c>
    </row>
    <row r="29" spans="1:23" s="306" customFormat="1">
      <c r="A29" s="302" t="s">
        <v>78</v>
      </c>
      <c r="B29" s="305">
        <v>2036</v>
      </c>
      <c r="C29" s="303">
        <v>5</v>
      </c>
      <c r="D29" s="303">
        <v>358</v>
      </c>
      <c r="E29" s="305">
        <v>4768</v>
      </c>
      <c r="F29" s="305">
        <v>1081</v>
      </c>
      <c r="G29" s="303">
        <v>10</v>
      </c>
      <c r="H29" s="304">
        <v>8258</v>
      </c>
      <c r="I29" s="305">
        <v>23291</v>
      </c>
      <c r="J29" s="303">
        <v>0</v>
      </c>
      <c r="K29" s="303">
        <v>20</v>
      </c>
      <c r="L29" s="303">
        <v>24</v>
      </c>
      <c r="M29" s="304">
        <v>23335</v>
      </c>
      <c r="N29" s="303">
        <v>0</v>
      </c>
      <c r="O29" s="303">
        <v>736</v>
      </c>
      <c r="P29" s="326">
        <f t="shared" si="0"/>
        <v>32329</v>
      </c>
      <c r="Q29" s="306">
        <f t="shared" si="7"/>
        <v>2394</v>
      </c>
      <c r="R29" s="306">
        <f t="shared" si="1"/>
        <v>5864</v>
      </c>
      <c r="S29" s="307">
        <f t="shared" si="2"/>
        <v>24071</v>
      </c>
      <c r="T29" s="306">
        <f t="shared" si="3"/>
        <v>65603</v>
      </c>
      <c r="U29" s="308">
        <f t="shared" si="4"/>
        <v>4.3506970497931799E-2</v>
      </c>
      <c r="V29" s="307">
        <f t="shared" si="5"/>
        <v>32329</v>
      </c>
      <c r="W29" s="307">
        <f t="shared" si="6"/>
        <v>0</v>
      </c>
    </row>
    <row r="30" spans="1:23" s="306" customFormat="1">
      <c r="A30" s="302" t="s">
        <v>79</v>
      </c>
      <c r="B30" s="303">
        <v>566</v>
      </c>
      <c r="C30" s="303">
        <v>198</v>
      </c>
      <c r="D30" s="303">
        <v>152</v>
      </c>
      <c r="E30" s="305">
        <v>1728</v>
      </c>
      <c r="F30" s="303">
        <v>540</v>
      </c>
      <c r="G30" s="303">
        <v>1</v>
      </c>
      <c r="H30" s="304">
        <v>3186</v>
      </c>
      <c r="I30" s="305">
        <v>15703</v>
      </c>
      <c r="J30" s="303">
        <v>0</v>
      </c>
      <c r="K30" s="303">
        <v>0</v>
      </c>
      <c r="L30" s="303">
        <v>16</v>
      </c>
      <c r="M30" s="304">
        <v>15719</v>
      </c>
      <c r="N30" s="303">
        <v>951</v>
      </c>
      <c r="O30" s="303">
        <v>201</v>
      </c>
      <c r="P30" s="326">
        <f t="shared" si="0"/>
        <v>20057</v>
      </c>
      <c r="Q30" s="306">
        <f t="shared" si="7"/>
        <v>718</v>
      </c>
      <c r="R30" s="306">
        <f t="shared" si="1"/>
        <v>2467</v>
      </c>
      <c r="S30" s="307">
        <f t="shared" si="2"/>
        <v>16871</v>
      </c>
      <c r="T30" s="306">
        <f t="shared" si="3"/>
        <v>31452</v>
      </c>
      <c r="U30" s="308">
        <f t="shared" si="4"/>
        <v>2.085851616695808E-2</v>
      </c>
      <c r="V30" s="307">
        <f>SUM(Q30:S30)</f>
        <v>20056</v>
      </c>
      <c r="W30" s="307">
        <f t="shared" si="6"/>
        <v>1</v>
      </c>
    </row>
    <row r="31" spans="1:23" s="306" customFormat="1">
      <c r="A31" s="302" t="s">
        <v>80</v>
      </c>
      <c r="B31" s="303">
        <v>24</v>
      </c>
      <c r="C31" s="303">
        <v>0</v>
      </c>
      <c r="D31" s="303">
        <v>6</v>
      </c>
      <c r="E31" s="303">
        <v>178</v>
      </c>
      <c r="F31" s="303">
        <v>107</v>
      </c>
      <c r="G31" s="303">
        <v>0</v>
      </c>
      <c r="H31" s="309">
        <v>314</v>
      </c>
      <c r="I31" s="305">
        <v>4887</v>
      </c>
      <c r="J31" s="303">
        <v>0</v>
      </c>
      <c r="K31" s="303">
        <v>52</v>
      </c>
      <c r="L31" s="303">
        <v>3</v>
      </c>
      <c r="M31" s="304">
        <v>4942</v>
      </c>
      <c r="N31" s="303">
        <v>151</v>
      </c>
      <c r="O31" s="303">
        <v>127</v>
      </c>
      <c r="P31" s="326">
        <f t="shared" si="0"/>
        <v>5534</v>
      </c>
      <c r="Q31" s="306">
        <f t="shared" si="7"/>
        <v>30</v>
      </c>
      <c r="R31" s="306">
        <f t="shared" si="1"/>
        <v>285</v>
      </c>
      <c r="S31" s="307">
        <f t="shared" si="2"/>
        <v>5220</v>
      </c>
      <c r="T31" s="306">
        <f t="shared" si="3"/>
        <v>6375</v>
      </c>
      <c r="U31" s="308">
        <f t="shared" si="4"/>
        <v>4.227808742348905E-3</v>
      </c>
      <c r="V31" s="307">
        <f t="shared" si="5"/>
        <v>5535</v>
      </c>
      <c r="W31" s="307">
        <f t="shared" si="6"/>
        <v>-1</v>
      </c>
    </row>
    <row r="32" spans="1:23" s="306" customFormat="1">
      <c r="A32" s="302" t="s">
        <v>81</v>
      </c>
      <c r="B32" s="305">
        <v>2482</v>
      </c>
      <c r="C32" s="303">
        <v>74</v>
      </c>
      <c r="D32" s="303">
        <v>274</v>
      </c>
      <c r="E32" s="305">
        <v>2856</v>
      </c>
      <c r="F32" s="303">
        <v>647</v>
      </c>
      <c r="G32" s="303">
        <v>8</v>
      </c>
      <c r="H32" s="304">
        <v>6340</v>
      </c>
      <c r="I32" s="305">
        <v>23015</v>
      </c>
      <c r="J32" s="303">
        <v>55</v>
      </c>
      <c r="K32" s="303">
        <v>46</v>
      </c>
      <c r="L32" s="303">
        <v>38</v>
      </c>
      <c r="M32" s="304">
        <v>23153</v>
      </c>
      <c r="N32" s="303">
        <v>0</v>
      </c>
      <c r="O32" s="303">
        <v>309</v>
      </c>
      <c r="P32" s="326">
        <f t="shared" si="0"/>
        <v>29802</v>
      </c>
      <c r="Q32" s="306">
        <f t="shared" si="7"/>
        <v>2756</v>
      </c>
      <c r="R32" s="306">
        <f t="shared" si="1"/>
        <v>3585</v>
      </c>
      <c r="S32" s="307">
        <f t="shared" si="2"/>
        <v>23462</v>
      </c>
      <c r="T32" s="306">
        <f t="shared" si="3"/>
        <v>61777</v>
      </c>
      <c r="U32" s="308">
        <f t="shared" si="4"/>
        <v>4.096962206683738E-2</v>
      </c>
      <c r="V32" s="307">
        <f t="shared" si="5"/>
        <v>29803</v>
      </c>
      <c r="W32" s="307">
        <f t="shared" si="6"/>
        <v>-1</v>
      </c>
    </row>
    <row r="33" spans="1:23" s="306" customFormat="1">
      <c r="A33" s="302" t="s">
        <v>52</v>
      </c>
      <c r="B33" s="303">
        <v>711</v>
      </c>
      <c r="C33" s="303">
        <v>152</v>
      </c>
      <c r="D33" s="303">
        <v>40</v>
      </c>
      <c r="E33" s="305">
        <v>2980</v>
      </c>
      <c r="F33" s="303">
        <v>963</v>
      </c>
      <c r="G33" s="303">
        <v>8</v>
      </c>
      <c r="H33" s="304">
        <v>4854</v>
      </c>
      <c r="I33" s="305">
        <v>19027</v>
      </c>
      <c r="J33" s="303">
        <v>101</v>
      </c>
      <c r="K33" s="303">
        <v>21</v>
      </c>
      <c r="L33" s="303">
        <v>45</v>
      </c>
      <c r="M33" s="304">
        <v>19193</v>
      </c>
      <c r="N33" s="303">
        <v>181</v>
      </c>
      <c r="O33" s="303">
        <v>196</v>
      </c>
      <c r="P33" s="326">
        <f t="shared" si="0"/>
        <v>24424</v>
      </c>
      <c r="Q33" s="306">
        <f t="shared" si="7"/>
        <v>751</v>
      </c>
      <c r="R33" s="306">
        <f t="shared" si="1"/>
        <v>4103</v>
      </c>
      <c r="S33" s="307">
        <f t="shared" si="2"/>
        <v>19570</v>
      </c>
      <c r="T33" s="306">
        <f t="shared" si="3"/>
        <v>39389</v>
      </c>
      <c r="U33" s="308">
        <f t="shared" si="4"/>
        <v>2.61222209493931E-2</v>
      </c>
      <c r="V33" s="307">
        <f t="shared" si="5"/>
        <v>24424</v>
      </c>
      <c r="W33" s="307">
        <f t="shared" si="6"/>
        <v>0</v>
      </c>
    </row>
    <row r="34" spans="1:23" s="306" customFormat="1">
      <c r="A34" s="302" t="s">
        <v>41</v>
      </c>
      <c r="B34" s="303">
        <v>176</v>
      </c>
      <c r="C34" s="303">
        <v>21</v>
      </c>
      <c r="D34" s="303">
        <v>23</v>
      </c>
      <c r="E34" s="305">
        <v>2262</v>
      </c>
      <c r="F34" s="303">
        <v>532</v>
      </c>
      <c r="G34" s="303">
        <v>2</v>
      </c>
      <c r="H34" s="304">
        <v>3015</v>
      </c>
      <c r="I34" s="305">
        <v>7961</v>
      </c>
      <c r="J34" s="303">
        <v>451</v>
      </c>
      <c r="K34" s="303">
        <v>120</v>
      </c>
      <c r="L34" s="303">
        <v>96</v>
      </c>
      <c r="M34" s="304">
        <v>8628</v>
      </c>
      <c r="N34" s="303">
        <v>321</v>
      </c>
      <c r="O34" s="303">
        <v>273</v>
      </c>
      <c r="P34" s="326">
        <f t="shared" si="0"/>
        <v>12237</v>
      </c>
      <c r="Q34" s="306">
        <f t="shared" si="7"/>
        <v>199</v>
      </c>
      <c r="R34" s="306">
        <f t="shared" si="1"/>
        <v>2817</v>
      </c>
      <c r="S34" s="307">
        <f t="shared" si="2"/>
        <v>9222</v>
      </c>
      <c r="T34" s="306">
        <f t="shared" si="3"/>
        <v>19663</v>
      </c>
      <c r="U34" s="308">
        <f t="shared" si="4"/>
        <v>1.304022012561671E-2</v>
      </c>
      <c r="V34" s="307">
        <f t="shared" si="5"/>
        <v>12238</v>
      </c>
      <c r="W34" s="307">
        <f t="shared" si="6"/>
        <v>-1</v>
      </c>
    </row>
    <row r="35" spans="1:23" s="306" customFormat="1">
      <c r="A35" s="302" t="s">
        <v>82</v>
      </c>
      <c r="B35" s="305">
        <v>2563</v>
      </c>
      <c r="C35" s="303">
        <v>38</v>
      </c>
      <c r="D35" s="303">
        <v>539</v>
      </c>
      <c r="E35" s="305">
        <v>5938</v>
      </c>
      <c r="F35" s="303">
        <v>808</v>
      </c>
      <c r="G35" s="303">
        <v>7</v>
      </c>
      <c r="H35" s="304">
        <v>9893</v>
      </c>
      <c r="I35" s="305">
        <v>26659</v>
      </c>
      <c r="J35" s="303">
        <v>0</v>
      </c>
      <c r="K35" s="303">
        <v>100</v>
      </c>
      <c r="L35" s="303">
        <v>42</v>
      </c>
      <c r="M35" s="304">
        <v>26801</v>
      </c>
      <c r="N35" s="303">
        <v>19</v>
      </c>
      <c r="O35" s="303">
        <v>453</v>
      </c>
      <c r="P35" s="326">
        <f t="shared" si="0"/>
        <v>37166</v>
      </c>
      <c r="Q35" s="306">
        <f t="shared" si="7"/>
        <v>3102</v>
      </c>
      <c r="R35" s="306">
        <f t="shared" si="1"/>
        <v>6791</v>
      </c>
      <c r="S35" s="307">
        <f t="shared" si="2"/>
        <v>27273</v>
      </c>
      <c r="T35" s="306">
        <f t="shared" si="3"/>
        <v>78666</v>
      </c>
      <c r="U35" s="308">
        <f t="shared" si="4"/>
        <v>5.2170165102057874E-2</v>
      </c>
      <c r="V35" s="307">
        <f t="shared" si="5"/>
        <v>37166</v>
      </c>
      <c r="W35" s="307">
        <f t="shared" si="6"/>
        <v>0</v>
      </c>
    </row>
    <row r="36" spans="1:23" s="306" customFormat="1">
      <c r="A36" s="302" t="s">
        <v>54</v>
      </c>
      <c r="B36" s="303">
        <v>702</v>
      </c>
      <c r="C36" s="303">
        <v>0</v>
      </c>
      <c r="D36" s="303">
        <v>109</v>
      </c>
      <c r="E36" s="303">
        <v>941</v>
      </c>
      <c r="F36" s="303">
        <v>481</v>
      </c>
      <c r="G36" s="303">
        <v>3</v>
      </c>
      <c r="H36" s="304">
        <v>2235</v>
      </c>
      <c r="I36" s="305">
        <v>11074</v>
      </c>
      <c r="J36" s="303">
        <v>470</v>
      </c>
      <c r="K36" s="303">
        <v>283</v>
      </c>
      <c r="L36" s="303">
        <v>7</v>
      </c>
      <c r="M36" s="304">
        <v>11834</v>
      </c>
      <c r="N36" s="303">
        <v>382</v>
      </c>
      <c r="O36" s="303">
        <v>11</v>
      </c>
      <c r="P36" s="326">
        <f t="shared" si="0"/>
        <v>14462</v>
      </c>
      <c r="Q36" s="306">
        <f t="shared" si="7"/>
        <v>811</v>
      </c>
      <c r="R36" s="306">
        <f t="shared" si="1"/>
        <v>1425</v>
      </c>
      <c r="S36" s="307">
        <f t="shared" si="2"/>
        <v>12227</v>
      </c>
      <c r="T36" s="306">
        <f t="shared" si="3"/>
        <v>24612</v>
      </c>
      <c r="U36" s="308">
        <f t="shared" si="4"/>
        <v>1.632232608104961E-2</v>
      </c>
      <c r="V36" s="307">
        <f t="shared" si="5"/>
        <v>14463</v>
      </c>
      <c r="W36" s="307">
        <f t="shared" si="6"/>
        <v>-1</v>
      </c>
    </row>
    <row r="37" spans="1:23" s="306" customFormat="1">
      <c r="A37" s="302" t="s">
        <v>21</v>
      </c>
      <c r="B37" s="303">
        <v>662</v>
      </c>
      <c r="C37" s="303">
        <v>0</v>
      </c>
      <c r="D37" s="303">
        <v>139</v>
      </c>
      <c r="E37" s="305">
        <v>4048</v>
      </c>
      <c r="F37" s="303">
        <v>879</v>
      </c>
      <c r="G37" s="303">
        <v>3</v>
      </c>
      <c r="H37" s="304">
        <v>5731</v>
      </c>
      <c r="I37" s="305">
        <v>16934</v>
      </c>
      <c r="J37" s="303">
        <v>0</v>
      </c>
      <c r="K37" s="303">
        <v>2</v>
      </c>
      <c r="L37" s="303">
        <v>10</v>
      </c>
      <c r="M37" s="304">
        <v>16947</v>
      </c>
      <c r="N37" s="303">
        <v>80</v>
      </c>
      <c r="O37" s="303">
        <v>130</v>
      </c>
      <c r="P37" s="326">
        <f t="shared" si="0"/>
        <v>22888</v>
      </c>
      <c r="Q37" s="306">
        <f t="shared" si="7"/>
        <v>801</v>
      </c>
      <c r="R37" s="306">
        <f t="shared" si="1"/>
        <v>4930</v>
      </c>
      <c r="S37" s="307">
        <f t="shared" si="2"/>
        <v>17157</v>
      </c>
      <c r="T37" s="306">
        <f t="shared" si="3"/>
        <v>39957</v>
      </c>
      <c r="U37" s="308">
        <f t="shared" si="4"/>
        <v>2.6498910418515327E-2</v>
      </c>
      <c r="V37" s="307">
        <f t="shared" si="5"/>
        <v>22888</v>
      </c>
      <c r="W37" s="307">
        <f t="shared" si="6"/>
        <v>0</v>
      </c>
    </row>
    <row r="38" spans="1:23" s="306" customFormat="1">
      <c r="A38" s="302" t="s">
        <v>42</v>
      </c>
      <c r="B38" s="303">
        <v>70</v>
      </c>
      <c r="C38" s="303">
        <v>0</v>
      </c>
      <c r="D38" s="303">
        <v>17</v>
      </c>
      <c r="E38" s="303">
        <v>213</v>
      </c>
      <c r="F38" s="303">
        <v>339</v>
      </c>
      <c r="G38" s="303">
        <v>1</v>
      </c>
      <c r="H38" s="309">
        <v>640</v>
      </c>
      <c r="I38" s="305">
        <v>3393</v>
      </c>
      <c r="J38" s="303">
        <v>1</v>
      </c>
      <c r="K38" s="303">
        <v>0</v>
      </c>
      <c r="L38" s="303">
        <v>7</v>
      </c>
      <c r="M38" s="304">
        <v>3401</v>
      </c>
      <c r="N38" s="303">
        <v>293</v>
      </c>
      <c r="O38" s="303">
        <v>232</v>
      </c>
      <c r="P38" s="326">
        <f t="shared" si="0"/>
        <v>4566</v>
      </c>
      <c r="Q38" s="306">
        <f t="shared" si="7"/>
        <v>87</v>
      </c>
      <c r="R38" s="306">
        <f t="shared" si="1"/>
        <v>553</v>
      </c>
      <c r="S38" s="307">
        <f t="shared" si="2"/>
        <v>3926</v>
      </c>
      <c r="T38" s="306">
        <f t="shared" si="3"/>
        <v>6455</v>
      </c>
      <c r="U38" s="308">
        <f t="shared" si="4"/>
        <v>4.2808635971548518E-3</v>
      </c>
      <c r="V38" s="307">
        <f t="shared" si="5"/>
        <v>4566</v>
      </c>
      <c r="W38" s="307">
        <f t="shared" si="6"/>
        <v>0</v>
      </c>
    </row>
    <row r="39" spans="1:23" s="306" customFormat="1">
      <c r="A39" s="302" t="s">
        <v>83</v>
      </c>
      <c r="B39" s="305">
        <v>1358</v>
      </c>
      <c r="C39" s="303">
        <v>16</v>
      </c>
      <c r="D39" s="303">
        <v>176</v>
      </c>
      <c r="E39" s="305">
        <v>1082</v>
      </c>
      <c r="F39" s="303">
        <v>496</v>
      </c>
      <c r="G39" s="303">
        <v>13</v>
      </c>
      <c r="H39" s="304">
        <v>3142</v>
      </c>
      <c r="I39" s="305">
        <v>13067</v>
      </c>
      <c r="J39" s="303">
        <v>0</v>
      </c>
      <c r="K39" s="303">
        <v>21</v>
      </c>
      <c r="L39" s="303">
        <v>81</v>
      </c>
      <c r="M39" s="304">
        <v>13169</v>
      </c>
      <c r="N39" s="303">
        <v>56</v>
      </c>
      <c r="O39" s="303">
        <v>2</v>
      </c>
      <c r="P39" s="326">
        <f t="shared" si="0"/>
        <v>16369</v>
      </c>
      <c r="Q39" s="306">
        <f t="shared" si="7"/>
        <v>1534</v>
      </c>
      <c r="R39" s="306">
        <f t="shared" si="1"/>
        <v>1607</v>
      </c>
      <c r="S39" s="307">
        <f t="shared" si="2"/>
        <v>13227</v>
      </c>
      <c r="T39" s="306">
        <f t="shared" si="3"/>
        <v>33388</v>
      </c>
      <c r="U39" s="308">
        <f t="shared" si="4"/>
        <v>2.2142443653261998E-2</v>
      </c>
      <c r="V39" s="307">
        <f t="shared" si="5"/>
        <v>16368</v>
      </c>
      <c r="W39" s="307">
        <f t="shared" si="6"/>
        <v>1</v>
      </c>
    </row>
    <row r="40" spans="1:23" s="306" customFormat="1">
      <c r="A40" s="302" t="s">
        <v>22</v>
      </c>
      <c r="B40" s="303">
        <v>407</v>
      </c>
      <c r="C40" s="303">
        <v>0</v>
      </c>
      <c r="D40" s="303">
        <v>43</v>
      </c>
      <c r="E40" s="305">
        <v>2802</v>
      </c>
      <c r="F40" s="303">
        <v>477</v>
      </c>
      <c r="G40" s="303">
        <v>1</v>
      </c>
      <c r="H40" s="304">
        <v>3729</v>
      </c>
      <c r="I40" s="305">
        <v>19943</v>
      </c>
      <c r="J40" s="303">
        <v>0</v>
      </c>
      <c r="K40" s="303">
        <v>274</v>
      </c>
      <c r="L40" s="303">
        <v>7</v>
      </c>
      <c r="M40" s="304">
        <v>20224</v>
      </c>
      <c r="N40" s="303">
        <v>257</v>
      </c>
      <c r="O40" s="303">
        <v>308</v>
      </c>
      <c r="P40" s="326">
        <f t="shared" si="0"/>
        <v>24518</v>
      </c>
      <c r="Q40" s="306">
        <f t="shared" si="7"/>
        <v>450</v>
      </c>
      <c r="R40" s="306">
        <f t="shared" si="1"/>
        <v>3280</v>
      </c>
      <c r="S40" s="307">
        <f t="shared" si="2"/>
        <v>20789</v>
      </c>
      <c r="T40" s="306">
        <f t="shared" si="3"/>
        <v>35129</v>
      </c>
      <c r="U40" s="308">
        <f t="shared" si="4"/>
        <v>2.3297049930976421E-2</v>
      </c>
      <c r="V40" s="307">
        <f t="shared" si="5"/>
        <v>24519</v>
      </c>
      <c r="W40" s="307">
        <f t="shared" si="6"/>
        <v>-1</v>
      </c>
    </row>
    <row r="41" spans="1:23" s="306" customFormat="1">
      <c r="A41" s="302" t="s">
        <v>23</v>
      </c>
      <c r="B41" s="303">
        <v>760</v>
      </c>
      <c r="C41" s="303">
        <v>2</v>
      </c>
      <c r="D41" s="303">
        <v>156</v>
      </c>
      <c r="E41" s="305">
        <v>2614</v>
      </c>
      <c r="F41" s="303">
        <v>641</v>
      </c>
      <c r="G41" s="303">
        <v>0</v>
      </c>
      <c r="H41" s="304">
        <v>4173</v>
      </c>
      <c r="I41" s="305">
        <v>12643</v>
      </c>
      <c r="J41" s="303">
        <v>0</v>
      </c>
      <c r="K41" s="303">
        <v>0</v>
      </c>
      <c r="L41" s="303">
        <v>5</v>
      </c>
      <c r="M41" s="304">
        <v>12648</v>
      </c>
      <c r="N41" s="303">
        <v>271</v>
      </c>
      <c r="O41" s="303">
        <v>316</v>
      </c>
      <c r="P41" s="326">
        <f t="shared" si="0"/>
        <v>17408</v>
      </c>
      <c r="Q41" s="306">
        <f t="shared" si="7"/>
        <v>916</v>
      </c>
      <c r="R41" s="306">
        <f t="shared" si="1"/>
        <v>3257</v>
      </c>
      <c r="S41" s="307">
        <f t="shared" si="2"/>
        <v>13235</v>
      </c>
      <c r="T41" s="306">
        <f t="shared" si="3"/>
        <v>32166</v>
      </c>
      <c r="U41" s="308">
        <f t="shared" si="4"/>
        <v>2.1332030746101158E-2</v>
      </c>
      <c r="V41" s="307">
        <f t="shared" si="5"/>
        <v>17408</v>
      </c>
      <c r="W41" s="307">
        <f t="shared" si="6"/>
        <v>0</v>
      </c>
    </row>
    <row r="42" spans="1:23" s="306" customFormat="1">
      <c r="A42" s="302" t="s">
        <v>33</v>
      </c>
      <c r="B42" s="303">
        <v>387</v>
      </c>
      <c r="C42" s="303">
        <v>29</v>
      </c>
      <c r="D42" s="303">
        <v>36</v>
      </c>
      <c r="E42" s="305">
        <v>1324</v>
      </c>
      <c r="F42" s="303">
        <v>533</v>
      </c>
      <c r="G42" s="303">
        <v>0</v>
      </c>
      <c r="H42" s="304">
        <v>2310</v>
      </c>
      <c r="I42" s="305">
        <v>12523</v>
      </c>
      <c r="J42" s="303">
        <v>0</v>
      </c>
      <c r="K42" s="303">
        <v>0</v>
      </c>
      <c r="L42" s="303">
        <v>0</v>
      </c>
      <c r="M42" s="304">
        <v>12523</v>
      </c>
      <c r="N42" s="303">
        <v>180</v>
      </c>
      <c r="O42" s="303">
        <v>144</v>
      </c>
      <c r="P42" s="326">
        <f t="shared" si="0"/>
        <v>15157</v>
      </c>
      <c r="Q42" s="306">
        <f t="shared" si="7"/>
        <v>423</v>
      </c>
      <c r="R42" s="306">
        <f t="shared" si="1"/>
        <v>1886</v>
      </c>
      <c r="S42" s="307">
        <f t="shared" si="2"/>
        <v>12847</v>
      </c>
      <c r="T42" s="306">
        <f t="shared" si="3"/>
        <v>22735</v>
      </c>
      <c r="U42" s="308">
        <f t="shared" si="4"/>
        <v>1.5077526550165076E-2</v>
      </c>
      <c r="V42" s="307">
        <f t="shared" si="5"/>
        <v>15156</v>
      </c>
      <c r="W42" s="307">
        <f t="shared" si="6"/>
        <v>1</v>
      </c>
    </row>
    <row r="43" spans="1:23" s="306" customFormat="1" ht="12" thickBot="1">
      <c r="A43" s="407" t="s">
        <v>10</v>
      </c>
      <c r="B43" s="259">
        <f>SUM(B4:B42)</f>
        <v>30049</v>
      </c>
      <c r="C43" s="259">
        <f t="shared" ref="C43:O43" si="8">SUM(C4:C42)</f>
        <v>903</v>
      </c>
      <c r="D43" s="259">
        <f t="shared" si="8"/>
        <v>4773</v>
      </c>
      <c r="E43" s="259">
        <f t="shared" si="8"/>
        <v>89627</v>
      </c>
      <c r="F43" s="259">
        <f t="shared" si="8"/>
        <v>29382</v>
      </c>
      <c r="G43" s="259">
        <f t="shared" si="8"/>
        <v>241</v>
      </c>
      <c r="H43" s="310">
        <f t="shared" si="8"/>
        <v>154969</v>
      </c>
      <c r="I43" s="259">
        <f t="shared" si="8"/>
        <v>546823</v>
      </c>
      <c r="J43" s="259">
        <f t="shared" si="8"/>
        <v>3987</v>
      </c>
      <c r="K43" s="259">
        <f t="shared" si="8"/>
        <v>4085</v>
      </c>
      <c r="L43" s="259">
        <f t="shared" si="8"/>
        <v>1380</v>
      </c>
      <c r="M43" s="310">
        <f t="shared" si="8"/>
        <v>556271</v>
      </c>
      <c r="N43" s="259">
        <f t="shared" si="8"/>
        <v>5657</v>
      </c>
      <c r="O43" s="259">
        <f t="shared" si="8"/>
        <v>8332</v>
      </c>
      <c r="P43" s="327">
        <f>SUM(P4:P42)</f>
        <v>725229</v>
      </c>
      <c r="Q43" s="259">
        <f t="shared" ref="Q43:V43" si="9">SUM(Q4:Q42)</f>
        <v>34822</v>
      </c>
      <c r="R43" s="259">
        <f t="shared" si="9"/>
        <v>120153</v>
      </c>
      <c r="S43" s="259">
        <f t="shared" si="9"/>
        <v>570260</v>
      </c>
      <c r="T43" s="259">
        <f t="shared" si="9"/>
        <v>1278939</v>
      </c>
      <c r="U43" s="344">
        <f>SUM(U4:U42)</f>
        <v>0.84817403688328907</v>
      </c>
      <c r="V43" s="259">
        <f t="shared" si="9"/>
        <v>725235</v>
      </c>
      <c r="W43" s="259"/>
    </row>
    <row r="44" spans="1:23" s="306" customFormat="1">
      <c r="A44" s="311" t="s">
        <v>104</v>
      </c>
      <c r="B44" s="305">
        <f>'Tbl 35 2007'!B43</f>
        <v>29229</v>
      </c>
      <c r="C44" s="305">
        <f>'Tbl 35 2007'!C43</f>
        <v>931</v>
      </c>
      <c r="D44" s="305">
        <f>'Tbl 35 2007'!D43</f>
        <v>5007</v>
      </c>
      <c r="E44" s="305">
        <f>'Tbl 35 2007'!E43</f>
        <v>80687</v>
      </c>
      <c r="F44" s="305">
        <f>'Tbl 35 2007'!F43</f>
        <v>30056</v>
      </c>
      <c r="G44" s="305">
        <f>'Tbl 35 2007'!G43</f>
        <v>241</v>
      </c>
      <c r="H44" s="304">
        <f>'Tbl 35 2007'!H43</f>
        <v>146151</v>
      </c>
      <c r="I44" s="305">
        <f>'Tbl 35 2007'!I43</f>
        <v>532197</v>
      </c>
      <c r="J44" s="305">
        <f>'Tbl 35 2007'!J43</f>
        <v>3460</v>
      </c>
      <c r="K44" s="305">
        <f>'Tbl 35 2007'!K43</f>
        <v>3459</v>
      </c>
      <c r="L44" s="305">
        <f>'Tbl 35 2007'!L43</f>
        <v>1452</v>
      </c>
      <c r="M44" s="304">
        <f>'Tbl 35 2007'!M43</f>
        <v>540568</v>
      </c>
      <c r="N44" s="305">
        <f>'Tbl 35 2007'!N43</f>
        <v>4649</v>
      </c>
      <c r="O44" s="305">
        <f>'Tbl 35 2007'!O43</f>
        <v>8432</v>
      </c>
      <c r="P44" s="328">
        <f>'Tbl 35 2007'!P43</f>
        <v>686719</v>
      </c>
      <c r="Q44" s="305">
        <f>'Tbl 35 2007'!Q43</f>
        <v>34236</v>
      </c>
      <c r="R44" s="305">
        <f>'Tbl 35 2007'!R43</f>
        <v>111915</v>
      </c>
      <c r="S44" s="305">
        <f>'Tbl 35 2007'!S43</f>
        <v>553649</v>
      </c>
      <c r="T44" s="305">
        <f>'Tbl 35 2007'!T43</f>
        <v>1231754</v>
      </c>
    </row>
    <row r="45" spans="1:23" s="306" customFormat="1">
      <c r="A45" s="280" t="s">
        <v>105</v>
      </c>
      <c r="B45" s="281">
        <f t="shared" ref="B45:P45" si="10">(B43-B44)/B44</f>
        <v>2.8054329604160252E-2</v>
      </c>
      <c r="C45" s="281">
        <f t="shared" si="10"/>
        <v>-3.007518796992481E-2</v>
      </c>
      <c r="D45" s="281">
        <f t="shared" si="10"/>
        <v>-4.6734571599760334E-2</v>
      </c>
      <c r="E45" s="281">
        <f t="shared" si="10"/>
        <v>0.11079851772900219</v>
      </c>
      <c r="F45" s="281">
        <f t="shared" si="10"/>
        <v>-2.242480702688315E-2</v>
      </c>
      <c r="G45" s="281">
        <f t="shared" si="10"/>
        <v>0</v>
      </c>
      <c r="H45" s="282">
        <f t="shared" si="10"/>
        <v>6.0334859152520341E-2</v>
      </c>
      <c r="I45" s="281">
        <f t="shared" si="10"/>
        <v>2.748230448499334E-2</v>
      </c>
      <c r="J45" s="281">
        <f t="shared" si="10"/>
        <v>0.15231213872832369</v>
      </c>
      <c r="K45" s="281">
        <f t="shared" si="10"/>
        <v>0.1809771610291992</v>
      </c>
      <c r="L45" s="281">
        <f>(L43-L44)/L44</f>
        <v>-4.9586776859504134E-2</v>
      </c>
      <c r="M45" s="282">
        <f t="shared" si="10"/>
        <v>2.9049074307025202E-2</v>
      </c>
      <c r="N45" s="281">
        <f t="shared" si="10"/>
        <v>0.21682082168208217</v>
      </c>
      <c r="O45" s="281">
        <f t="shared" si="10"/>
        <v>-1.1859582542694497E-2</v>
      </c>
      <c r="P45" s="329">
        <f t="shared" si="10"/>
        <v>5.6078250346939577E-2</v>
      </c>
      <c r="Q45" s="235">
        <f>(Q43-Q44)/Q44</f>
        <v>1.7116485570744244E-2</v>
      </c>
      <c r="R45" s="235">
        <f>(R43-R44)/R44</f>
        <v>7.3609435732475539E-2</v>
      </c>
      <c r="S45" s="235">
        <f>(S43-S44)/S44</f>
        <v>3.0002763483723442E-2</v>
      </c>
      <c r="T45" s="235">
        <f>(T43-T44)/T44</f>
        <v>3.8307161982019139E-2</v>
      </c>
    </row>
    <row r="46" spans="1:23" s="306" customFormat="1">
      <c r="A46" s="312"/>
      <c r="H46" s="313"/>
      <c r="M46" s="313"/>
      <c r="P46" s="314"/>
    </row>
    <row r="47" spans="1:23" s="306" customFormat="1" ht="12.75" customHeight="1">
      <c r="A47" s="269" t="s">
        <v>106</v>
      </c>
      <c r="B47" s="269"/>
      <c r="C47" s="269"/>
      <c r="D47" s="269"/>
      <c r="E47" s="269"/>
      <c r="F47" s="269"/>
      <c r="G47" s="269"/>
      <c r="H47" s="315"/>
      <c r="I47" s="269"/>
      <c r="J47" s="269"/>
      <c r="M47" s="313"/>
      <c r="P47" s="314"/>
    </row>
    <row r="49" spans="1:23" s="317" customFormat="1">
      <c r="A49" s="316" t="str">
        <f>'NZ EFT08-2011'!$B$54</f>
        <v>Auckland University of Technology</v>
      </c>
      <c r="H49" s="318"/>
      <c r="M49" s="318"/>
      <c r="P49" s="486">
        <f>SUM(Q49:S49)</f>
        <v>15464.68000000006</v>
      </c>
      <c r="Q49" s="319">
        <f>'NZ EFT08-2011'!I57+'NZ EFT08-2011'!I58</f>
        <v>483.44970000000001</v>
      </c>
      <c r="R49" s="319">
        <f>'NZ EFT08-2011'!I56</f>
        <v>969.42639999999994</v>
      </c>
      <c r="S49" s="319">
        <f>'NZ EFT08-2011'!I55+'NZ EFT08-2011'!I59</f>
        <v>14011.803900000061</v>
      </c>
      <c r="T49" s="320">
        <f t="shared" ref="T49:T56" si="11">(10*Q49)+(3*R49)+S49</f>
        <v>21754.580100000061</v>
      </c>
      <c r="U49" s="308">
        <f>T49/($T$43+$T$57)</f>
        <v>1.4427326107123103E-2</v>
      </c>
    </row>
    <row r="50" spans="1:23" s="317" customFormat="1">
      <c r="A50" s="316" t="str">
        <f>'NZ EFT08-2011'!$B$40</f>
        <v>Lincoln University</v>
      </c>
      <c r="H50" s="318"/>
      <c r="M50" s="318"/>
      <c r="P50" s="486">
        <f t="shared" ref="P50:P56" si="12">SUM(Q50:S50)</f>
        <v>2345.489499999997</v>
      </c>
      <c r="Q50" s="319">
        <f>'NZ EFT08-2011'!I43+'NZ EFT08-2011'!I44</f>
        <v>301.37509999999997</v>
      </c>
      <c r="R50" s="319">
        <f>'NZ EFT08-2011'!I42</f>
        <v>157.49180000000001</v>
      </c>
      <c r="S50" s="319">
        <f>'NZ EFT08-2011'!I41+'NZ EFT08-2011'!I45</f>
        <v>1886.622599999997</v>
      </c>
      <c r="T50" s="320">
        <f t="shared" si="11"/>
        <v>5372.8489999999965</v>
      </c>
      <c r="U50" s="308">
        <f t="shared" ref="U50:U56" si="13">T50/($T$43+$T$57)</f>
        <v>3.5631965448659699E-3</v>
      </c>
    </row>
    <row r="51" spans="1:23" s="317" customFormat="1">
      <c r="A51" s="316" t="str">
        <f>'NZ EFT08-2011'!$B$19</f>
        <v>Massey University</v>
      </c>
      <c r="H51" s="318"/>
      <c r="M51" s="318"/>
      <c r="P51" s="486">
        <f t="shared" si="12"/>
        <v>19296.220500000531</v>
      </c>
      <c r="Q51" s="319">
        <f>'NZ EFT08-2011'!I22+'NZ EFT08-2011'!I23</f>
        <v>1456.2477000000001</v>
      </c>
      <c r="R51" s="319">
        <f>'NZ EFT08-2011'!I21</f>
        <v>2098.7396999999901</v>
      </c>
      <c r="S51" s="319">
        <f>'NZ EFT08-2011'!I20+'NZ EFT08-2011'!I24</f>
        <v>15741.23310000054</v>
      </c>
      <c r="T51" s="320">
        <f t="shared" si="11"/>
        <v>36599.929200000508</v>
      </c>
      <c r="U51" s="308">
        <f t="shared" si="13"/>
        <v>2.4272549120174607E-2</v>
      </c>
    </row>
    <row r="52" spans="1:23" s="317" customFormat="1">
      <c r="A52" s="316" t="str">
        <f>'NZ EFT08-2011'!$B$5</f>
        <v>University of Auckland</v>
      </c>
      <c r="H52" s="318"/>
      <c r="M52" s="318"/>
      <c r="P52" s="486">
        <f t="shared" si="12"/>
        <v>31241.299699999792</v>
      </c>
      <c r="Q52" s="319">
        <f>'NZ EFT08-2011'!I8+'NZ EFT08-2011'!I9</f>
        <v>1986.6487000000002</v>
      </c>
      <c r="R52" s="319">
        <f>'NZ EFT08-2011'!I7</f>
        <v>3869.1259999998301</v>
      </c>
      <c r="S52" s="319">
        <f>'NZ EFT08-2011'!I6+'NZ EFT08-2011'!I10</f>
        <v>25385.524999999961</v>
      </c>
      <c r="T52" s="320">
        <f t="shared" si="11"/>
        <v>56859.389999999454</v>
      </c>
      <c r="U52" s="308">
        <f t="shared" si="13"/>
        <v>3.7708333510058603E-2</v>
      </c>
    </row>
    <row r="53" spans="1:23" s="317" customFormat="1">
      <c r="A53" s="316" t="str">
        <f>'NZ EFT08-2011'!$B$33</f>
        <v>University of Canterbury</v>
      </c>
      <c r="H53" s="318"/>
      <c r="M53" s="318"/>
      <c r="P53" s="486">
        <f t="shared" si="12"/>
        <v>14956.807799996504</v>
      </c>
      <c r="Q53" s="319">
        <f>'NZ EFT08-2011'!I36</f>
        <v>948.13890000000004</v>
      </c>
      <c r="R53" s="319">
        <f>'NZ EFT08-2011'!I35</f>
        <v>922.78520000000401</v>
      </c>
      <c r="S53" s="319">
        <f>'NZ EFT08-2011'!I34+'NZ EFT08-2011'!I38</f>
        <v>13085.883699996501</v>
      </c>
      <c r="T53" s="320">
        <f t="shared" si="11"/>
        <v>25335.628299996511</v>
      </c>
      <c r="U53" s="308">
        <f t="shared" si="13"/>
        <v>1.6802226010921972E-2</v>
      </c>
    </row>
    <row r="54" spans="1:23" s="317" customFormat="1">
      <c r="A54" s="316" t="str">
        <f>'NZ EFT08-2011'!$B$47</f>
        <v>University of Otago</v>
      </c>
      <c r="H54" s="318"/>
      <c r="M54" s="318"/>
      <c r="P54" s="486">
        <f t="shared" si="12"/>
        <v>18965.017899984268</v>
      </c>
      <c r="Q54" s="319">
        <f>'NZ EFT08-2011'!I50+'NZ EFT08-2011'!I51</f>
        <v>1423.663</v>
      </c>
      <c r="R54" s="319">
        <f>'NZ EFT08-2011'!I49</f>
        <v>1335.04430000004</v>
      </c>
      <c r="S54" s="319">
        <f>'NZ EFT08-2011'!I48+'NZ EFT08-2011'!I52</f>
        <v>16206.31059998423</v>
      </c>
      <c r="T54" s="320">
        <f t="shared" si="11"/>
        <v>34448.073499984355</v>
      </c>
      <c r="U54" s="308">
        <f t="shared" si="13"/>
        <v>2.2845469223578274E-2</v>
      </c>
    </row>
    <row r="55" spans="1:23" s="317" customFormat="1">
      <c r="A55" s="316" t="str">
        <f>'NZ EFT08-2011'!$B$12</f>
        <v>University of Waikato</v>
      </c>
      <c r="H55" s="318"/>
      <c r="M55" s="318"/>
      <c r="P55" s="486">
        <f t="shared" si="12"/>
        <v>9937.8372999998282</v>
      </c>
      <c r="Q55" s="319">
        <f>'NZ EFT08-2011'!I15+'NZ EFT08-2011'!I16</f>
        <v>577.12380000000098</v>
      </c>
      <c r="R55" s="319">
        <f>'NZ EFT08-2011'!I14</f>
        <v>954.43489999999701</v>
      </c>
      <c r="S55" s="319">
        <f>'NZ EFT08-2011'!I13+'NZ EFT08-2011'!I17</f>
        <v>8406.2785999998305</v>
      </c>
      <c r="T55" s="320">
        <f t="shared" si="11"/>
        <v>17040.821299999832</v>
      </c>
      <c r="U55" s="308">
        <f t="shared" si="13"/>
        <v>1.1301228748069761E-2</v>
      </c>
    </row>
    <row r="56" spans="1:23" s="317" customFormat="1">
      <c r="A56" s="316" t="str">
        <f>'NZ EFT08-2011'!$B$26</f>
        <v>Victoria University of Wellington</v>
      </c>
      <c r="H56" s="318"/>
      <c r="M56" s="318"/>
      <c r="P56" s="486">
        <f t="shared" si="12"/>
        <v>17528.265300000647</v>
      </c>
      <c r="Q56" s="319">
        <f>'NZ EFT08-2011'!I29+'NZ EFT08-2011'!I30</f>
        <v>1215.1088</v>
      </c>
      <c r="R56" s="319">
        <f>'NZ EFT08-2011'!I28</f>
        <v>1529.4014999999999</v>
      </c>
      <c r="S56" s="319">
        <f>'NZ EFT08-2011'!I27+'NZ EFT08-2011'!I31</f>
        <v>14783.755000000649</v>
      </c>
      <c r="T56" s="320">
        <f t="shared" si="11"/>
        <v>31523.047500000648</v>
      </c>
      <c r="U56" s="308">
        <f t="shared" si="13"/>
        <v>2.090563385191883E-2</v>
      </c>
    </row>
    <row r="57" spans="1:23" s="317" customFormat="1" ht="14.25" customHeight="1" thickBot="1">
      <c r="A57" s="482" t="s">
        <v>134</v>
      </c>
      <c r="B57" s="483"/>
      <c r="C57" s="483"/>
      <c r="D57" s="483"/>
      <c r="E57" s="483"/>
      <c r="F57" s="483"/>
      <c r="G57" s="483"/>
      <c r="H57" s="483"/>
      <c r="I57" s="483"/>
      <c r="J57" s="483"/>
      <c r="K57" s="483"/>
      <c r="L57" s="483"/>
      <c r="M57" s="483"/>
      <c r="N57" s="483"/>
      <c r="O57" s="483"/>
      <c r="P57" s="487">
        <f t="shared" ref="P57:U57" si="14">SUM(P49:P56)</f>
        <v>129735.61799998162</v>
      </c>
      <c r="Q57" s="484">
        <f t="shared" si="14"/>
        <v>8391.7557000000015</v>
      </c>
      <c r="R57" s="484">
        <f t="shared" si="14"/>
        <v>11836.44979999986</v>
      </c>
      <c r="S57" s="484">
        <f t="shared" si="14"/>
        <v>109507.41249998177</v>
      </c>
      <c r="T57" s="484">
        <f t="shared" si="14"/>
        <v>228934.31889998136</v>
      </c>
      <c r="U57" s="485">
        <f t="shared" si="14"/>
        <v>0.15182596311671112</v>
      </c>
      <c r="V57" s="322"/>
      <c r="W57" s="322"/>
    </row>
    <row r="58" spans="1:23" s="317" customFormat="1">
      <c r="A58" s="316"/>
      <c r="H58" s="318"/>
      <c r="M58" s="318"/>
      <c r="P58" s="318"/>
    </row>
    <row r="59" spans="1:23" s="317" customFormat="1">
      <c r="A59" s="316" t="s">
        <v>132</v>
      </c>
      <c r="H59" s="318"/>
      <c r="M59" s="318"/>
      <c r="P59" s="489">
        <f>P43+P57</f>
        <v>854964.61799998162</v>
      </c>
      <c r="Q59" s="323">
        <f>Q43+Q57</f>
        <v>43213.755700000002</v>
      </c>
      <c r="R59" s="323">
        <f>R43+R57</f>
        <v>131989.44979999986</v>
      </c>
      <c r="S59" s="323">
        <f>S43+S57</f>
        <v>679767.41249998182</v>
      </c>
      <c r="T59" s="323">
        <f>T43+T57</f>
        <v>1507873.3188999814</v>
      </c>
      <c r="U59" s="324">
        <f>SUM(U4:U42)+SUM(U49:U56)</f>
        <v>1.0000000000000002</v>
      </c>
    </row>
    <row r="60" spans="1:23">
      <c r="U60" s="325" t="str">
        <f>IF(U43+U57=U59,"ok","check!!")</f>
        <v>ok</v>
      </c>
    </row>
  </sheetData>
  <autoFilter ref="B3:W3" xr:uid="{00000000-0009-0000-0000-00000E000000}"/>
  <phoneticPr fontId="17" type="noConversion"/>
  <hyperlinks>
    <hyperlink ref="A1" location="Index!A1" display="&lt; Back to Index &gt;" xr:uid="{00000000-0004-0000-0E00-000000000000}"/>
    <hyperlink ref="W1" location="'Ave weight 1996-2013'!A1" display="Ave weight 1996-2013" xr:uid="{00000000-0004-0000-0E00-000001000000}"/>
  </hyperlinks>
  <pageMargins left="0.75" right="0.75" top="1" bottom="1" header="0.5" footer="0.5"/>
  <pageSetup paperSize="9" scale="46"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59"/>
  <sheetViews>
    <sheetView zoomScaleNormal="100" workbookViewId="0">
      <pane xSplit="1" ySplit="4" topLeftCell="J29" activePane="bottomRight" state="frozen"/>
      <selection pane="topRight" activeCell="B1" sqref="B1"/>
      <selection pane="bottomLeft" activeCell="A5" sqref="A5"/>
      <selection pane="bottomRight" activeCell="U57" sqref="U57"/>
    </sheetView>
  </sheetViews>
  <sheetFormatPr defaultColWidth="9.140625" defaultRowHeight="11.25"/>
  <cols>
    <col min="1" max="1" width="28.42578125" style="316" customWidth="1"/>
    <col min="2" max="3" width="11.28515625" style="317" customWidth="1"/>
    <col min="4" max="4" width="10.28515625" style="317" customWidth="1"/>
    <col min="5" max="5" width="11.140625" style="317" customWidth="1"/>
    <col min="6" max="7" width="11.7109375" style="317" customWidth="1"/>
    <col min="8" max="8" width="11.7109375" style="318" customWidth="1"/>
    <col min="9" max="9" width="9.140625" style="317"/>
    <col min="10" max="10" width="9" style="317" customWidth="1"/>
    <col min="11" max="12" width="12.7109375" style="317" customWidth="1"/>
    <col min="13" max="13" width="12.7109375" style="318" customWidth="1"/>
    <col min="14" max="14" width="8.140625" style="317" customWidth="1"/>
    <col min="15" max="16" width="9.42578125" style="317" customWidth="1"/>
    <col min="17" max="17" width="9.140625" style="317"/>
    <col min="18" max="18" width="10.85546875" style="317" customWidth="1"/>
    <col min="19" max="19" width="9.140625" style="317"/>
    <col min="20" max="21" width="13.42578125" style="317" bestFit="1" customWidth="1"/>
    <col min="22" max="16384" width="9.140625" style="317"/>
  </cols>
  <sheetData>
    <row r="1" spans="1:23" ht="12.75">
      <c r="A1" s="288" t="s">
        <v>286</v>
      </c>
      <c r="Q1" s="330"/>
      <c r="R1" s="330"/>
      <c r="S1" s="330"/>
      <c r="T1" s="330"/>
      <c r="U1" s="330"/>
      <c r="W1" s="523" t="s">
        <v>304</v>
      </c>
    </row>
    <row r="2" spans="1:23">
      <c r="A2" s="740" t="s">
        <v>93</v>
      </c>
      <c r="B2" s="740"/>
      <c r="C2" s="740"/>
      <c r="D2" s="740"/>
      <c r="E2" s="740"/>
      <c r="F2" s="740"/>
      <c r="G2" s="740"/>
      <c r="H2" s="740"/>
      <c r="I2" s="740"/>
      <c r="J2" s="740"/>
      <c r="K2" s="740"/>
      <c r="L2" s="740"/>
      <c r="M2" s="740"/>
      <c r="N2" s="740"/>
      <c r="O2" s="740"/>
      <c r="P2" s="740"/>
      <c r="Q2" s="330"/>
      <c r="R2" s="330"/>
      <c r="S2" s="332">
        <v>2009</v>
      </c>
      <c r="T2" s="330"/>
      <c r="U2" s="330"/>
    </row>
    <row r="3" spans="1:23">
      <c r="A3" s="331"/>
      <c r="B3" s="331"/>
      <c r="C3" s="331"/>
      <c r="D3" s="331"/>
      <c r="E3" s="331"/>
      <c r="F3" s="331"/>
      <c r="G3" s="331"/>
      <c r="H3" s="333"/>
      <c r="I3" s="331"/>
      <c r="J3" s="331"/>
      <c r="K3" s="331"/>
      <c r="L3" s="331"/>
      <c r="M3" s="333"/>
      <c r="N3" s="331"/>
      <c r="O3" s="331"/>
      <c r="P3" s="331"/>
      <c r="Q3" s="330"/>
      <c r="R3" s="330"/>
      <c r="S3" s="330"/>
      <c r="T3" s="330"/>
      <c r="U3" s="330"/>
    </row>
    <row r="4" spans="1:23" s="311" customFormat="1" ht="39.6" customHeight="1">
      <c r="A4" s="461" t="s">
        <v>94</v>
      </c>
      <c r="B4" s="468" t="s">
        <v>0</v>
      </c>
      <c r="C4" s="468" t="s">
        <v>1</v>
      </c>
      <c r="D4" s="468" t="s">
        <v>2</v>
      </c>
      <c r="E4" s="468" t="s">
        <v>3</v>
      </c>
      <c r="F4" s="468" t="s">
        <v>4</v>
      </c>
      <c r="G4" s="468" t="s">
        <v>95</v>
      </c>
      <c r="H4" s="469" t="s">
        <v>11</v>
      </c>
      <c r="I4" s="468" t="s">
        <v>5</v>
      </c>
      <c r="J4" s="468" t="s">
        <v>6</v>
      </c>
      <c r="K4" s="468" t="s">
        <v>7</v>
      </c>
      <c r="L4" s="468" t="s">
        <v>96</v>
      </c>
      <c r="M4" s="470" t="s">
        <v>12</v>
      </c>
      <c r="N4" s="471" t="s">
        <v>8</v>
      </c>
      <c r="O4" s="471" t="s">
        <v>9</v>
      </c>
      <c r="P4" s="472" t="s">
        <v>10</v>
      </c>
      <c r="Q4" s="447" t="s">
        <v>97</v>
      </c>
      <c r="R4" s="447" t="s">
        <v>98</v>
      </c>
      <c r="S4" s="447" t="s">
        <v>88</v>
      </c>
      <c r="T4" s="447" t="s">
        <v>99</v>
      </c>
      <c r="U4" s="447" t="s">
        <v>100</v>
      </c>
      <c r="V4" s="447" t="s">
        <v>293</v>
      </c>
      <c r="W4" s="447" t="s">
        <v>227</v>
      </c>
    </row>
    <row r="5" spans="1:23" s="280" customFormat="1">
      <c r="A5" s="334" t="s">
        <v>62</v>
      </c>
      <c r="B5" s="270">
        <v>149</v>
      </c>
      <c r="C5" s="270">
        <v>11</v>
      </c>
      <c r="D5" s="270">
        <v>31</v>
      </c>
      <c r="E5" s="270">
        <v>887</v>
      </c>
      <c r="F5" s="270">
        <v>923</v>
      </c>
      <c r="G5" s="270">
        <v>3</v>
      </c>
      <c r="H5" s="285">
        <v>2005</v>
      </c>
      <c r="I5" s="271">
        <v>10282</v>
      </c>
      <c r="J5" s="270">
        <v>182</v>
      </c>
      <c r="K5" s="270">
        <v>325</v>
      </c>
      <c r="L5" s="270">
        <v>23</v>
      </c>
      <c r="M5" s="285">
        <v>10812</v>
      </c>
      <c r="N5" s="270">
        <v>0</v>
      </c>
      <c r="O5" s="270">
        <v>154</v>
      </c>
      <c r="P5" s="341">
        <f>H5+M5+N5+O5</f>
        <v>12971</v>
      </c>
      <c r="Q5" s="280">
        <f t="shared" ref="Q5:Q43" si="0">SUM(B5,D5)</f>
        <v>180</v>
      </c>
      <c r="R5" s="280">
        <f t="shared" ref="R5:R43" si="1">SUM(C5,E5,F5,G5)</f>
        <v>1824</v>
      </c>
      <c r="S5" s="273">
        <f>SUM(M5:O5)</f>
        <v>10966</v>
      </c>
      <c r="T5" s="280">
        <f>(10*Q5)+(3*R5)+S5</f>
        <v>18238</v>
      </c>
      <c r="U5" s="308">
        <f t="shared" ref="U5:U43" si="2">T5/($T$44+$T$56)</f>
        <v>1.1476580446590412E-2</v>
      </c>
      <c r="V5" s="273">
        <f>SUM(Q5:S5)</f>
        <v>12970</v>
      </c>
      <c r="W5" s="273">
        <f>P5-V5</f>
        <v>1</v>
      </c>
    </row>
    <row r="6" spans="1:23" s="280" customFormat="1">
      <c r="A6" s="334" t="s">
        <v>84</v>
      </c>
      <c r="B6" s="271">
        <v>1696</v>
      </c>
      <c r="C6" s="270">
        <v>3</v>
      </c>
      <c r="D6" s="270">
        <v>100</v>
      </c>
      <c r="E6" s="271">
        <v>1502</v>
      </c>
      <c r="F6" s="270">
        <v>991</v>
      </c>
      <c r="G6" s="270">
        <v>9</v>
      </c>
      <c r="H6" s="285">
        <v>4300</v>
      </c>
      <c r="I6" s="271">
        <v>8254</v>
      </c>
      <c r="J6" s="270">
        <v>22</v>
      </c>
      <c r="K6" s="270">
        <v>29</v>
      </c>
      <c r="L6" s="270">
        <v>37</v>
      </c>
      <c r="M6" s="285">
        <v>8342</v>
      </c>
      <c r="N6" s="270">
        <v>40</v>
      </c>
      <c r="O6" s="270">
        <v>139</v>
      </c>
      <c r="P6" s="341">
        <f t="shared" ref="P6:P43" si="3">H6+M6+N6+O6</f>
        <v>12821</v>
      </c>
      <c r="Q6" s="280">
        <f t="shared" si="0"/>
        <v>1796</v>
      </c>
      <c r="R6" s="280">
        <f t="shared" si="1"/>
        <v>2505</v>
      </c>
      <c r="S6" s="273">
        <f>SUM(M6:O6)</f>
        <v>8521</v>
      </c>
      <c r="T6" s="280">
        <f t="shared" ref="T6:T43" si="4">(10*Q6)+(3*R6)+S6</f>
        <v>33996</v>
      </c>
      <c r="U6" s="308">
        <f t="shared" si="2"/>
        <v>2.1392577522880124E-2</v>
      </c>
      <c r="V6" s="273">
        <f t="shared" ref="V6:V43" si="5">SUM(Q6:S6)</f>
        <v>12822</v>
      </c>
      <c r="W6" s="273">
        <f t="shared" ref="W6:W43" si="6">P6-V6</f>
        <v>-1</v>
      </c>
    </row>
    <row r="7" spans="1:23" s="280" customFormat="1">
      <c r="A7" s="334" t="s">
        <v>35</v>
      </c>
      <c r="B7" s="270">
        <v>95</v>
      </c>
      <c r="C7" s="270">
        <v>66</v>
      </c>
      <c r="D7" s="270">
        <v>8</v>
      </c>
      <c r="E7" s="271">
        <v>1183</v>
      </c>
      <c r="F7" s="270">
        <v>205</v>
      </c>
      <c r="G7" s="270">
        <v>0</v>
      </c>
      <c r="H7" s="285">
        <v>1556</v>
      </c>
      <c r="I7" s="271">
        <v>3761</v>
      </c>
      <c r="J7" s="270">
        <v>3</v>
      </c>
      <c r="K7" s="270">
        <v>1</v>
      </c>
      <c r="L7" s="270">
        <v>0</v>
      </c>
      <c r="M7" s="285">
        <v>3765</v>
      </c>
      <c r="N7" s="270">
        <v>198</v>
      </c>
      <c r="O7" s="270">
        <v>565</v>
      </c>
      <c r="P7" s="341">
        <f t="shared" si="3"/>
        <v>6084</v>
      </c>
      <c r="Q7" s="280">
        <f t="shared" si="0"/>
        <v>103</v>
      </c>
      <c r="R7" s="280">
        <f t="shared" si="1"/>
        <v>1454</v>
      </c>
      <c r="S7" s="273">
        <f>SUM(M7:O7)</f>
        <v>4528</v>
      </c>
      <c r="T7" s="280">
        <f t="shared" si="4"/>
        <v>9920</v>
      </c>
      <c r="U7" s="308">
        <f t="shared" si="2"/>
        <v>6.2423334812028129E-3</v>
      </c>
      <c r="V7" s="273">
        <f t="shared" si="5"/>
        <v>6085</v>
      </c>
      <c r="W7" s="273">
        <f t="shared" si="6"/>
        <v>-1</v>
      </c>
    </row>
    <row r="8" spans="1:23" s="280" customFormat="1">
      <c r="A8" s="334" t="s">
        <v>36</v>
      </c>
      <c r="B8" s="270">
        <v>150</v>
      </c>
      <c r="C8" s="270">
        <v>3</v>
      </c>
      <c r="D8" s="270">
        <v>32</v>
      </c>
      <c r="E8" s="271">
        <v>3014</v>
      </c>
      <c r="F8" s="271">
        <v>1207</v>
      </c>
      <c r="G8" s="270">
        <v>28</v>
      </c>
      <c r="H8" s="285">
        <v>4433</v>
      </c>
      <c r="I8" s="271">
        <v>6771</v>
      </c>
      <c r="J8" s="270">
        <v>32</v>
      </c>
      <c r="K8" s="270">
        <v>245</v>
      </c>
      <c r="L8" s="270">
        <v>36</v>
      </c>
      <c r="M8" s="285">
        <v>7084</v>
      </c>
      <c r="N8" s="270">
        <v>855</v>
      </c>
      <c r="O8" s="270">
        <v>71</v>
      </c>
      <c r="P8" s="341">
        <f t="shared" si="3"/>
        <v>12443</v>
      </c>
      <c r="Q8" s="280">
        <f t="shared" si="0"/>
        <v>182</v>
      </c>
      <c r="R8" s="280">
        <f t="shared" si="1"/>
        <v>4252</v>
      </c>
      <c r="S8" s="273">
        <f t="shared" ref="S8:S43" si="7">SUM(M8:O8)</f>
        <v>8010</v>
      </c>
      <c r="T8" s="280">
        <f t="shared" si="4"/>
        <v>22586</v>
      </c>
      <c r="U8" s="308">
        <f t="shared" si="2"/>
        <v>1.421263548452084E-2</v>
      </c>
      <c r="V8" s="273">
        <f t="shared" si="5"/>
        <v>12444</v>
      </c>
      <c r="W8" s="273">
        <f t="shared" si="6"/>
        <v>-1</v>
      </c>
    </row>
    <row r="9" spans="1:23" s="280" customFormat="1">
      <c r="A9" s="334" t="s">
        <v>57</v>
      </c>
      <c r="B9" s="270">
        <v>139</v>
      </c>
      <c r="C9" s="270">
        <v>9</v>
      </c>
      <c r="D9" s="270">
        <v>25</v>
      </c>
      <c r="E9" s="270">
        <v>147</v>
      </c>
      <c r="F9" s="270">
        <v>378</v>
      </c>
      <c r="G9" s="270">
        <v>1</v>
      </c>
      <c r="H9" s="335">
        <v>698</v>
      </c>
      <c r="I9" s="271">
        <v>2847</v>
      </c>
      <c r="J9" s="270">
        <v>9</v>
      </c>
      <c r="K9" s="270">
        <v>30</v>
      </c>
      <c r="L9" s="270">
        <v>19</v>
      </c>
      <c r="M9" s="285">
        <v>2904</v>
      </c>
      <c r="N9" s="270">
        <v>312</v>
      </c>
      <c r="O9" s="270">
        <v>9</v>
      </c>
      <c r="P9" s="341">
        <f t="shared" si="3"/>
        <v>3923</v>
      </c>
      <c r="Q9" s="280">
        <f t="shared" si="0"/>
        <v>164</v>
      </c>
      <c r="R9" s="280">
        <f t="shared" si="1"/>
        <v>535</v>
      </c>
      <c r="S9" s="273">
        <f t="shared" si="7"/>
        <v>3225</v>
      </c>
      <c r="T9" s="280">
        <f t="shared" si="4"/>
        <v>6470</v>
      </c>
      <c r="U9" s="308">
        <f t="shared" si="2"/>
        <v>4.0713606475183666E-3</v>
      </c>
      <c r="V9" s="273">
        <f t="shared" si="5"/>
        <v>3924</v>
      </c>
      <c r="W9" s="273">
        <f t="shared" si="6"/>
        <v>-1</v>
      </c>
    </row>
    <row r="10" spans="1:23" s="280" customFormat="1">
      <c r="A10" s="334" t="s">
        <v>14</v>
      </c>
      <c r="B10" s="270">
        <v>300</v>
      </c>
      <c r="C10" s="270">
        <v>25</v>
      </c>
      <c r="D10" s="270">
        <v>21</v>
      </c>
      <c r="E10" s="271">
        <v>2066</v>
      </c>
      <c r="F10" s="270">
        <v>838</v>
      </c>
      <c r="G10" s="270">
        <v>2</v>
      </c>
      <c r="H10" s="285">
        <v>3252</v>
      </c>
      <c r="I10" s="271">
        <v>13449</v>
      </c>
      <c r="J10" s="271">
        <v>1666</v>
      </c>
      <c r="K10" s="270">
        <v>29</v>
      </c>
      <c r="L10" s="270">
        <v>41</v>
      </c>
      <c r="M10" s="285">
        <v>15185</v>
      </c>
      <c r="N10" s="270">
        <v>204</v>
      </c>
      <c r="O10" s="270">
        <v>162</v>
      </c>
      <c r="P10" s="341">
        <f t="shared" si="3"/>
        <v>18803</v>
      </c>
      <c r="Q10" s="280">
        <f t="shared" si="0"/>
        <v>321</v>
      </c>
      <c r="R10" s="280">
        <f t="shared" si="1"/>
        <v>2931</v>
      </c>
      <c r="S10" s="273">
        <f t="shared" si="7"/>
        <v>15551</v>
      </c>
      <c r="T10" s="280">
        <f t="shared" si="4"/>
        <v>27554</v>
      </c>
      <c r="U10" s="308">
        <f t="shared" si="2"/>
        <v>1.7338836365026443E-2</v>
      </c>
      <c r="V10" s="273">
        <f t="shared" si="5"/>
        <v>18803</v>
      </c>
      <c r="W10" s="273">
        <f t="shared" si="6"/>
        <v>0</v>
      </c>
    </row>
    <row r="11" spans="1:23" s="280" customFormat="1">
      <c r="A11" s="334" t="s">
        <v>44</v>
      </c>
      <c r="B11" s="271">
        <v>1003</v>
      </c>
      <c r="C11" s="270">
        <v>1</v>
      </c>
      <c r="D11" s="270">
        <v>169</v>
      </c>
      <c r="E11" s="271">
        <v>2831</v>
      </c>
      <c r="F11" s="271">
        <v>1068</v>
      </c>
      <c r="G11" s="270">
        <v>8</v>
      </c>
      <c r="H11" s="285">
        <v>5079</v>
      </c>
      <c r="I11" s="271">
        <v>24676</v>
      </c>
      <c r="J11" s="270">
        <v>239</v>
      </c>
      <c r="K11" s="270">
        <v>128</v>
      </c>
      <c r="L11" s="270">
        <v>26</v>
      </c>
      <c r="M11" s="285">
        <v>25069</v>
      </c>
      <c r="N11" s="270">
        <v>208</v>
      </c>
      <c r="O11" s="270">
        <v>296</v>
      </c>
      <c r="P11" s="341">
        <f t="shared" si="3"/>
        <v>30652</v>
      </c>
      <c r="Q11" s="280">
        <f t="shared" si="0"/>
        <v>1172</v>
      </c>
      <c r="R11" s="280">
        <f t="shared" si="1"/>
        <v>3908</v>
      </c>
      <c r="S11" s="273">
        <f t="shared" si="7"/>
        <v>25573</v>
      </c>
      <c r="T11" s="280">
        <f t="shared" si="4"/>
        <v>49017</v>
      </c>
      <c r="U11" s="308">
        <f t="shared" si="2"/>
        <v>3.0844804460495794E-2</v>
      </c>
      <c r="V11" s="273">
        <f t="shared" si="5"/>
        <v>30653</v>
      </c>
      <c r="W11" s="273">
        <f t="shared" si="6"/>
        <v>-1</v>
      </c>
    </row>
    <row r="12" spans="1:23" s="280" customFormat="1">
      <c r="A12" s="334" t="s">
        <v>63</v>
      </c>
      <c r="B12" s="270">
        <v>662</v>
      </c>
      <c r="C12" s="270">
        <v>9</v>
      </c>
      <c r="D12" s="270">
        <v>39</v>
      </c>
      <c r="E12" s="271">
        <v>3413</v>
      </c>
      <c r="F12" s="271">
        <v>1207</v>
      </c>
      <c r="G12" s="270">
        <v>9</v>
      </c>
      <c r="H12" s="285">
        <v>5339</v>
      </c>
      <c r="I12" s="271">
        <v>20678</v>
      </c>
      <c r="J12" s="270">
        <v>7</v>
      </c>
      <c r="K12" s="270">
        <v>27</v>
      </c>
      <c r="L12" s="270">
        <v>37</v>
      </c>
      <c r="M12" s="285">
        <v>20748</v>
      </c>
      <c r="N12" s="270">
        <v>0</v>
      </c>
      <c r="O12" s="270">
        <v>171</v>
      </c>
      <c r="P12" s="341">
        <f t="shared" si="3"/>
        <v>26258</v>
      </c>
      <c r="Q12" s="280">
        <f t="shared" si="0"/>
        <v>701</v>
      </c>
      <c r="R12" s="280">
        <f t="shared" si="1"/>
        <v>4638</v>
      </c>
      <c r="S12" s="273">
        <f t="shared" si="7"/>
        <v>20919</v>
      </c>
      <c r="T12" s="280">
        <f t="shared" si="4"/>
        <v>41843</v>
      </c>
      <c r="U12" s="308">
        <f t="shared" si="2"/>
        <v>2.6330439501408193E-2</v>
      </c>
      <c r="V12" s="273">
        <f t="shared" si="5"/>
        <v>26258</v>
      </c>
      <c r="W12" s="273">
        <f t="shared" si="6"/>
        <v>0</v>
      </c>
    </row>
    <row r="13" spans="1:23" s="280" customFormat="1">
      <c r="A13" s="334" t="s">
        <v>45</v>
      </c>
      <c r="B13" s="270">
        <v>302</v>
      </c>
      <c r="C13" s="270">
        <v>25</v>
      </c>
      <c r="D13" s="270">
        <v>77</v>
      </c>
      <c r="E13" s="271">
        <v>2350</v>
      </c>
      <c r="F13" s="271">
        <v>1067</v>
      </c>
      <c r="G13" s="270">
        <v>3</v>
      </c>
      <c r="H13" s="285">
        <v>3823</v>
      </c>
      <c r="I13" s="271">
        <v>12545</v>
      </c>
      <c r="J13" s="270">
        <v>55</v>
      </c>
      <c r="K13" s="270">
        <v>56</v>
      </c>
      <c r="L13" s="270">
        <v>34</v>
      </c>
      <c r="M13" s="285">
        <v>12689</v>
      </c>
      <c r="N13" s="270">
        <v>580</v>
      </c>
      <c r="O13" s="270">
        <v>12</v>
      </c>
      <c r="P13" s="341">
        <f t="shared" si="3"/>
        <v>17104</v>
      </c>
      <c r="Q13" s="280">
        <f t="shared" si="0"/>
        <v>379</v>
      </c>
      <c r="R13" s="280">
        <f t="shared" si="1"/>
        <v>3445</v>
      </c>
      <c r="S13" s="273">
        <f t="shared" si="7"/>
        <v>13281</v>
      </c>
      <c r="T13" s="280">
        <f t="shared" si="4"/>
        <v>27406</v>
      </c>
      <c r="U13" s="308">
        <f t="shared" si="2"/>
        <v>1.724570477679882E-2</v>
      </c>
      <c r="V13" s="273">
        <f t="shared" si="5"/>
        <v>17105</v>
      </c>
      <c r="W13" s="273">
        <f t="shared" si="6"/>
        <v>-1</v>
      </c>
    </row>
    <row r="14" spans="1:23" s="280" customFormat="1">
      <c r="A14" s="334" t="s">
        <v>74</v>
      </c>
      <c r="B14" s="270">
        <v>521</v>
      </c>
      <c r="C14" s="270">
        <v>38</v>
      </c>
      <c r="D14" s="270">
        <v>56</v>
      </c>
      <c r="E14" s="271">
        <v>1423</v>
      </c>
      <c r="F14" s="270">
        <v>658</v>
      </c>
      <c r="G14" s="270">
        <v>6</v>
      </c>
      <c r="H14" s="285">
        <v>2702</v>
      </c>
      <c r="I14" s="271">
        <v>9263</v>
      </c>
      <c r="J14" s="270">
        <v>0</v>
      </c>
      <c r="K14" s="270">
        <v>97</v>
      </c>
      <c r="L14" s="270">
        <v>91</v>
      </c>
      <c r="M14" s="285">
        <v>9451</v>
      </c>
      <c r="N14" s="270">
        <v>0</v>
      </c>
      <c r="O14" s="270">
        <v>32</v>
      </c>
      <c r="P14" s="341">
        <f t="shared" si="3"/>
        <v>12185</v>
      </c>
      <c r="Q14" s="280">
        <f t="shared" si="0"/>
        <v>577</v>
      </c>
      <c r="R14" s="280">
        <f t="shared" si="1"/>
        <v>2125</v>
      </c>
      <c r="S14" s="273">
        <f t="shared" si="7"/>
        <v>9483</v>
      </c>
      <c r="T14" s="280">
        <f t="shared" si="4"/>
        <v>21628</v>
      </c>
      <c r="U14" s="308">
        <f t="shared" si="2"/>
        <v>1.3609797230993391E-2</v>
      </c>
      <c r="V14" s="273">
        <f t="shared" si="5"/>
        <v>12185</v>
      </c>
      <c r="W14" s="273">
        <f t="shared" si="6"/>
        <v>0</v>
      </c>
    </row>
    <row r="15" spans="1:23" s="280" customFormat="1">
      <c r="A15" s="334" t="s">
        <v>37</v>
      </c>
      <c r="B15" s="270">
        <v>902</v>
      </c>
      <c r="C15" s="270">
        <v>29</v>
      </c>
      <c r="D15" s="270">
        <v>77</v>
      </c>
      <c r="E15" s="271">
        <v>3133</v>
      </c>
      <c r="F15" s="271">
        <v>1195</v>
      </c>
      <c r="G15" s="270">
        <v>7</v>
      </c>
      <c r="H15" s="285">
        <v>5343</v>
      </c>
      <c r="I15" s="271">
        <v>23991</v>
      </c>
      <c r="J15" s="270">
        <v>0</v>
      </c>
      <c r="K15" s="270">
        <v>117</v>
      </c>
      <c r="L15" s="270">
        <v>25</v>
      </c>
      <c r="M15" s="285">
        <v>24133</v>
      </c>
      <c r="N15" s="270">
        <v>13</v>
      </c>
      <c r="O15" s="270">
        <v>517</v>
      </c>
      <c r="P15" s="341">
        <f t="shared" si="3"/>
        <v>30006</v>
      </c>
      <c r="Q15" s="280">
        <f t="shared" si="0"/>
        <v>979</v>
      </c>
      <c r="R15" s="280">
        <f t="shared" si="1"/>
        <v>4364</v>
      </c>
      <c r="S15" s="273">
        <f t="shared" si="7"/>
        <v>24663</v>
      </c>
      <c r="T15" s="280">
        <f t="shared" si="4"/>
        <v>47545</v>
      </c>
      <c r="U15" s="308">
        <f t="shared" si="2"/>
        <v>2.9918522718123765E-2</v>
      </c>
      <c r="V15" s="273">
        <f t="shared" si="5"/>
        <v>30006</v>
      </c>
      <c r="W15" s="273">
        <f t="shared" si="6"/>
        <v>0</v>
      </c>
    </row>
    <row r="16" spans="1:23" s="280" customFormat="1">
      <c r="A16" s="334" t="s">
        <v>38</v>
      </c>
      <c r="B16" s="270">
        <v>476</v>
      </c>
      <c r="C16" s="270">
        <v>37</v>
      </c>
      <c r="D16" s="270">
        <v>70</v>
      </c>
      <c r="E16" s="271">
        <v>1788</v>
      </c>
      <c r="F16" s="270">
        <v>358</v>
      </c>
      <c r="G16" s="270">
        <v>10</v>
      </c>
      <c r="H16" s="285">
        <v>2739</v>
      </c>
      <c r="I16" s="271">
        <v>9499</v>
      </c>
      <c r="J16" s="270">
        <v>0</v>
      </c>
      <c r="K16" s="270">
        <v>200</v>
      </c>
      <c r="L16" s="270">
        <v>11</v>
      </c>
      <c r="M16" s="285">
        <v>9711</v>
      </c>
      <c r="N16" s="270">
        <v>72</v>
      </c>
      <c r="O16" s="270">
        <v>308</v>
      </c>
      <c r="P16" s="341">
        <f t="shared" si="3"/>
        <v>12830</v>
      </c>
      <c r="Q16" s="280">
        <f t="shared" si="0"/>
        <v>546</v>
      </c>
      <c r="R16" s="280">
        <f t="shared" si="1"/>
        <v>2193</v>
      </c>
      <c r="S16" s="273">
        <f t="shared" si="7"/>
        <v>10091</v>
      </c>
      <c r="T16" s="280">
        <f t="shared" si="4"/>
        <v>22130</v>
      </c>
      <c r="U16" s="308">
        <f t="shared" si="2"/>
        <v>1.3925689509981678E-2</v>
      </c>
      <c r="V16" s="273">
        <f t="shared" si="5"/>
        <v>12830</v>
      </c>
      <c r="W16" s="273">
        <f t="shared" si="6"/>
        <v>0</v>
      </c>
    </row>
    <row r="17" spans="1:23" s="280" customFormat="1">
      <c r="A17" s="334" t="s">
        <v>26</v>
      </c>
      <c r="B17" s="270">
        <v>856</v>
      </c>
      <c r="C17" s="270">
        <v>10</v>
      </c>
      <c r="D17" s="270">
        <v>117</v>
      </c>
      <c r="E17" s="271">
        <v>2630</v>
      </c>
      <c r="F17" s="271">
        <v>1396</v>
      </c>
      <c r="G17" s="270">
        <v>8</v>
      </c>
      <c r="H17" s="285">
        <v>5016</v>
      </c>
      <c r="I17" s="271">
        <v>18379</v>
      </c>
      <c r="J17" s="270">
        <v>0</v>
      </c>
      <c r="K17" s="270">
        <v>26</v>
      </c>
      <c r="L17" s="270">
        <v>93</v>
      </c>
      <c r="M17" s="285">
        <v>18497</v>
      </c>
      <c r="N17" s="270">
        <v>14</v>
      </c>
      <c r="O17" s="270">
        <v>52</v>
      </c>
      <c r="P17" s="341">
        <f t="shared" si="3"/>
        <v>23579</v>
      </c>
      <c r="Q17" s="280">
        <f t="shared" si="0"/>
        <v>973</v>
      </c>
      <c r="R17" s="280">
        <f t="shared" si="1"/>
        <v>4044</v>
      </c>
      <c r="S17" s="273">
        <f t="shared" si="7"/>
        <v>18563</v>
      </c>
      <c r="T17" s="280">
        <f t="shared" si="4"/>
        <v>40425</v>
      </c>
      <c r="U17" s="308">
        <f t="shared" si="2"/>
        <v>2.5438138203389485E-2</v>
      </c>
      <c r="V17" s="273">
        <f t="shared" si="5"/>
        <v>23580</v>
      </c>
      <c r="W17" s="273">
        <f t="shared" si="6"/>
        <v>-1</v>
      </c>
    </row>
    <row r="18" spans="1:23" s="280" customFormat="1">
      <c r="A18" s="334" t="s">
        <v>15</v>
      </c>
      <c r="B18" s="271">
        <v>1125</v>
      </c>
      <c r="C18" s="270">
        <v>0</v>
      </c>
      <c r="D18" s="270">
        <v>62</v>
      </c>
      <c r="E18" s="271">
        <v>4051</v>
      </c>
      <c r="F18" s="271">
        <v>1026</v>
      </c>
      <c r="G18" s="270">
        <v>3</v>
      </c>
      <c r="H18" s="285">
        <v>6266</v>
      </c>
      <c r="I18" s="271">
        <v>17900</v>
      </c>
      <c r="J18" s="270">
        <v>0</v>
      </c>
      <c r="K18" s="270">
        <v>74</v>
      </c>
      <c r="L18" s="270">
        <v>17</v>
      </c>
      <c r="M18" s="285">
        <v>17991</v>
      </c>
      <c r="N18" s="270">
        <v>67</v>
      </c>
      <c r="O18" s="270">
        <v>558</v>
      </c>
      <c r="P18" s="341">
        <f t="shared" si="3"/>
        <v>24882</v>
      </c>
      <c r="Q18" s="280">
        <f t="shared" si="0"/>
        <v>1187</v>
      </c>
      <c r="R18" s="280">
        <f t="shared" si="1"/>
        <v>5080</v>
      </c>
      <c r="S18" s="273">
        <f t="shared" si="7"/>
        <v>18616</v>
      </c>
      <c r="T18" s="280">
        <f t="shared" si="4"/>
        <v>45726</v>
      </c>
      <c r="U18" s="308">
        <f t="shared" si="2"/>
        <v>2.8773885157407239E-2</v>
      </c>
      <c r="V18" s="273">
        <f t="shared" si="5"/>
        <v>24883</v>
      </c>
      <c r="W18" s="273">
        <f t="shared" si="6"/>
        <v>-1</v>
      </c>
    </row>
    <row r="19" spans="1:23" s="280" customFormat="1">
      <c r="A19" s="334" t="s">
        <v>28</v>
      </c>
      <c r="B19" s="271">
        <v>2129</v>
      </c>
      <c r="C19" s="270">
        <v>0</v>
      </c>
      <c r="D19" s="270">
        <v>470</v>
      </c>
      <c r="E19" s="271">
        <v>5300</v>
      </c>
      <c r="F19" s="271">
        <v>1577</v>
      </c>
      <c r="G19" s="270">
        <v>13</v>
      </c>
      <c r="H19" s="285">
        <v>9488</v>
      </c>
      <c r="I19" s="271">
        <v>36137</v>
      </c>
      <c r="J19" s="270">
        <v>31</v>
      </c>
      <c r="K19" s="270">
        <v>228</v>
      </c>
      <c r="L19" s="270">
        <v>54</v>
      </c>
      <c r="M19" s="285">
        <v>36450</v>
      </c>
      <c r="N19" s="270">
        <v>0</v>
      </c>
      <c r="O19" s="270">
        <v>292</v>
      </c>
      <c r="P19" s="341">
        <f t="shared" si="3"/>
        <v>46230</v>
      </c>
      <c r="Q19" s="280">
        <f t="shared" si="0"/>
        <v>2599</v>
      </c>
      <c r="R19" s="280">
        <f t="shared" si="1"/>
        <v>6890</v>
      </c>
      <c r="S19" s="273">
        <f t="shared" si="7"/>
        <v>36742</v>
      </c>
      <c r="T19" s="280">
        <f t="shared" si="4"/>
        <v>83402</v>
      </c>
      <c r="U19" s="308">
        <f t="shared" si="2"/>
        <v>5.2482167036217435E-2</v>
      </c>
      <c r="V19" s="273">
        <f t="shared" si="5"/>
        <v>46231</v>
      </c>
      <c r="W19" s="273">
        <f t="shared" si="6"/>
        <v>-1</v>
      </c>
    </row>
    <row r="20" spans="1:23" s="280" customFormat="1">
      <c r="A20" s="334" t="s">
        <v>46</v>
      </c>
      <c r="B20" s="270">
        <v>558</v>
      </c>
      <c r="C20" s="270">
        <v>17</v>
      </c>
      <c r="D20" s="270">
        <v>72</v>
      </c>
      <c r="E20" s="270">
        <v>603</v>
      </c>
      <c r="F20" s="270">
        <v>622</v>
      </c>
      <c r="G20" s="270">
        <v>6</v>
      </c>
      <c r="H20" s="285">
        <v>1879</v>
      </c>
      <c r="I20" s="271">
        <v>10412</v>
      </c>
      <c r="J20" s="270">
        <v>0</v>
      </c>
      <c r="K20" s="270">
        <v>0</v>
      </c>
      <c r="L20" s="270">
        <v>20</v>
      </c>
      <c r="M20" s="285">
        <v>10432</v>
      </c>
      <c r="N20" s="270">
        <v>131</v>
      </c>
      <c r="O20" s="270">
        <v>104</v>
      </c>
      <c r="P20" s="341">
        <f t="shared" si="3"/>
        <v>12546</v>
      </c>
      <c r="Q20" s="280">
        <f t="shared" si="0"/>
        <v>630</v>
      </c>
      <c r="R20" s="280">
        <f t="shared" si="1"/>
        <v>1248</v>
      </c>
      <c r="S20" s="273">
        <f t="shared" si="7"/>
        <v>10667</v>
      </c>
      <c r="T20" s="280">
        <f t="shared" si="4"/>
        <v>20711</v>
      </c>
      <c r="U20" s="308">
        <f t="shared" si="2"/>
        <v>1.3032758944474945E-2</v>
      </c>
      <c r="V20" s="273">
        <f t="shared" si="5"/>
        <v>12545</v>
      </c>
      <c r="W20" s="273">
        <f t="shared" si="6"/>
        <v>1</v>
      </c>
    </row>
    <row r="21" spans="1:23" s="280" customFormat="1">
      <c r="A21" s="334" t="s">
        <v>39</v>
      </c>
      <c r="B21" s="270">
        <v>982</v>
      </c>
      <c r="C21" s="270">
        <v>16</v>
      </c>
      <c r="D21" s="270">
        <v>243</v>
      </c>
      <c r="E21" s="271">
        <v>2370</v>
      </c>
      <c r="F21" s="271">
        <v>1274</v>
      </c>
      <c r="G21" s="270">
        <v>8</v>
      </c>
      <c r="H21" s="285">
        <v>4892</v>
      </c>
      <c r="I21" s="271">
        <v>24661</v>
      </c>
      <c r="J21" s="270">
        <v>0</v>
      </c>
      <c r="K21" s="270">
        <v>448</v>
      </c>
      <c r="L21" s="270">
        <v>39</v>
      </c>
      <c r="M21" s="285">
        <v>25148</v>
      </c>
      <c r="N21" s="270">
        <v>0</v>
      </c>
      <c r="O21" s="270">
        <v>148</v>
      </c>
      <c r="P21" s="341">
        <f t="shared" si="3"/>
        <v>30188</v>
      </c>
      <c r="Q21" s="280">
        <f t="shared" si="0"/>
        <v>1225</v>
      </c>
      <c r="R21" s="280">
        <f t="shared" si="1"/>
        <v>3668</v>
      </c>
      <c r="S21" s="273">
        <f t="shared" si="7"/>
        <v>25296</v>
      </c>
      <c r="T21" s="280">
        <f t="shared" si="4"/>
        <v>48550</v>
      </c>
      <c r="U21" s="308">
        <f t="shared" si="2"/>
        <v>3.0550936543588363E-2</v>
      </c>
      <c r="V21" s="273">
        <f t="shared" si="5"/>
        <v>30189</v>
      </c>
      <c r="W21" s="273">
        <f t="shared" si="6"/>
        <v>-1</v>
      </c>
    </row>
    <row r="22" spans="1:23" s="280" customFormat="1">
      <c r="A22" s="334" t="s">
        <v>29</v>
      </c>
      <c r="B22" s="270">
        <v>908</v>
      </c>
      <c r="C22" s="270">
        <v>6</v>
      </c>
      <c r="D22" s="270">
        <v>192</v>
      </c>
      <c r="E22" s="271">
        <v>4535</v>
      </c>
      <c r="F22" s="271">
        <v>1124</v>
      </c>
      <c r="G22" s="270">
        <v>5</v>
      </c>
      <c r="H22" s="285">
        <v>6770</v>
      </c>
      <c r="I22" s="271">
        <v>28431</v>
      </c>
      <c r="J22" s="270">
        <v>319</v>
      </c>
      <c r="K22" s="270">
        <v>790</v>
      </c>
      <c r="L22" s="270">
        <v>16</v>
      </c>
      <c r="M22" s="285">
        <v>29556</v>
      </c>
      <c r="N22" s="270">
        <v>0</v>
      </c>
      <c r="O22" s="270">
        <v>94</v>
      </c>
      <c r="P22" s="341">
        <f t="shared" si="3"/>
        <v>36420</v>
      </c>
      <c r="Q22" s="280">
        <f t="shared" si="0"/>
        <v>1100</v>
      </c>
      <c r="R22" s="280">
        <f t="shared" si="1"/>
        <v>5670</v>
      </c>
      <c r="S22" s="273">
        <f t="shared" si="7"/>
        <v>29650</v>
      </c>
      <c r="T22" s="280">
        <f t="shared" si="4"/>
        <v>57660</v>
      </c>
      <c r="U22" s="308">
        <f t="shared" si="2"/>
        <v>3.6283563359491351E-2</v>
      </c>
      <c r="V22" s="273">
        <f t="shared" si="5"/>
        <v>36420</v>
      </c>
      <c r="W22" s="273">
        <f t="shared" si="6"/>
        <v>0</v>
      </c>
    </row>
    <row r="23" spans="1:23" s="280" customFormat="1">
      <c r="A23" s="334" t="s">
        <v>16</v>
      </c>
      <c r="B23" s="270">
        <v>285</v>
      </c>
      <c r="C23" s="270">
        <v>0</v>
      </c>
      <c r="D23" s="270">
        <v>21</v>
      </c>
      <c r="E23" s="270">
        <v>894</v>
      </c>
      <c r="F23" s="270">
        <v>192</v>
      </c>
      <c r="G23" s="270">
        <v>2</v>
      </c>
      <c r="H23" s="285">
        <v>1394</v>
      </c>
      <c r="I23" s="271">
        <v>8222</v>
      </c>
      <c r="J23" s="270">
        <v>184</v>
      </c>
      <c r="K23" s="270">
        <v>20</v>
      </c>
      <c r="L23" s="270">
        <v>107</v>
      </c>
      <c r="M23" s="285">
        <v>8533</v>
      </c>
      <c r="N23" s="270">
        <v>226</v>
      </c>
      <c r="O23" s="270">
        <v>10</v>
      </c>
      <c r="P23" s="341">
        <f t="shared" si="3"/>
        <v>10163</v>
      </c>
      <c r="Q23" s="280">
        <f t="shared" si="0"/>
        <v>306</v>
      </c>
      <c r="R23" s="280">
        <f t="shared" si="1"/>
        <v>1088</v>
      </c>
      <c r="S23" s="273">
        <f t="shared" si="7"/>
        <v>8769</v>
      </c>
      <c r="T23" s="280">
        <f t="shared" si="4"/>
        <v>15093</v>
      </c>
      <c r="U23" s="308">
        <f t="shared" si="2"/>
        <v>9.4975341967534332E-3</v>
      </c>
      <c r="V23" s="273">
        <f t="shared" si="5"/>
        <v>10163</v>
      </c>
      <c r="W23" s="273">
        <f t="shared" si="6"/>
        <v>0</v>
      </c>
    </row>
    <row r="24" spans="1:23" s="280" customFormat="1">
      <c r="A24" s="334" t="s">
        <v>30</v>
      </c>
      <c r="B24" s="270">
        <v>531</v>
      </c>
      <c r="C24" s="270">
        <v>0</v>
      </c>
      <c r="D24" s="270">
        <v>40</v>
      </c>
      <c r="E24" s="271">
        <v>2517</v>
      </c>
      <c r="F24" s="270">
        <v>764</v>
      </c>
      <c r="G24" s="270">
        <v>4</v>
      </c>
      <c r="H24" s="285">
        <v>3855</v>
      </c>
      <c r="I24" s="271">
        <v>12289</v>
      </c>
      <c r="J24" s="270">
        <v>44</v>
      </c>
      <c r="K24" s="270">
        <v>0</v>
      </c>
      <c r="L24" s="270">
        <v>9</v>
      </c>
      <c r="M24" s="285">
        <v>12342</v>
      </c>
      <c r="N24" s="270">
        <v>0</v>
      </c>
      <c r="O24" s="270">
        <v>133</v>
      </c>
      <c r="P24" s="341">
        <f t="shared" si="3"/>
        <v>16330</v>
      </c>
      <c r="Q24" s="280">
        <f t="shared" si="0"/>
        <v>571</v>
      </c>
      <c r="R24" s="280">
        <f t="shared" si="1"/>
        <v>3285</v>
      </c>
      <c r="S24" s="273">
        <f t="shared" si="7"/>
        <v>12475</v>
      </c>
      <c r="T24" s="280">
        <f t="shared" si="4"/>
        <v>28040</v>
      </c>
      <c r="U24" s="308">
        <f t="shared" si="2"/>
        <v>1.7644660364206338E-2</v>
      </c>
      <c r="V24" s="273">
        <f t="shared" si="5"/>
        <v>16331</v>
      </c>
      <c r="W24" s="273">
        <f t="shared" si="6"/>
        <v>-1</v>
      </c>
    </row>
    <row r="25" spans="1:23" s="280" customFormat="1">
      <c r="A25" s="334" t="s">
        <v>75</v>
      </c>
      <c r="B25" s="271">
        <v>1184</v>
      </c>
      <c r="C25" s="270">
        <v>1</v>
      </c>
      <c r="D25" s="270">
        <v>115</v>
      </c>
      <c r="E25" s="271">
        <v>1875</v>
      </c>
      <c r="F25" s="270">
        <v>596</v>
      </c>
      <c r="G25" s="270">
        <v>10</v>
      </c>
      <c r="H25" s="285">
        <v>3780</v>
      </c>
      <c r="I25" s="271">
        <v>13272</v>
      </c>
      <c r="J25" s="270">
        <v>0</v>
      </c>
      <c r="K25" s="270">
        <v>79</v>
      </c>
      <c r="L25" s="270">
        <v>50</v>
      </c>
      <c r="M25" s="285">
        <v>13400</v>
      </c>
      <c r="N25" s="270">
        <v>38</v>
      </c>
      <c r="O25" s="270">
        <v>319</v>
      </c>
      <c r="P25" s="341">
        <f t="shared" si="3"/>
        <v>17537</v>
      </c>
      <c r="Q25" s="280">
        <f t="shared" si="0"/>
        <v>1299</v>
      </c>
      <c r="R25" s="280">
        <f t="shared" si="1"/>
        <v>2482</v>
      </c>
      <c r="S25" s="273">
        <f t="shared" si="7"/>
        <v>13757</v>
      </c>
      <c r="T25" s="280">
        <f t="shared" si="4"/>
        <v>34193</v>
      </c>
      <c r="U25" s="308">
        <f t="shared" si="2"/>
        <v>2.1516543218020944E-2</v>
      </c>
      <c r="V25" s="273">
        <f t="shared" si="5"/>
        <v>17538</v>
      </c>
      <c r="W25" s="273">
        <f t="shared" si="6"/>
        <v>-1</v>
      </c>
    </row>
    <row r="26" spans="1:23" s="280" customFormat="1">
      <c r="A26" s="334" t="s">
        <v>32</v>
      </c>
      <c r="B26" s="270">
        <v>107</v>
      </c>
      <c r="C26" s="270">
        <v>0</v>
      </c>
      <c r="D26" s="270">
        <v>24</v>
      </c>
      <c r="E26" s="271">
        <v>4027</v>
      </c>
      <c r="F26" s="270">
        <v>647</v>
      </c>
      <c r="G26" s="270">
        <v>0</v>
      </c>
      <c r="H26" s="285">
        <v>4804</v>
      </c>
      <c r="I26" s="271">
        <v>4948</v>
      </c>
      <c r="J26" s="270">
        <v>18</v>
      </c>
      <c r="K26" s="270">
        <v>0</v>
      </c>
      <c r="L26" s="270">
        <v>1</v>
      </c>
      <c r="M26" s="285">
        <v>4967</v>
      </c>
      <c r="N26" s="270">
        <v>36</v>
      </c>
      <c r="O26" s="270">
        <v>203</v>
      </c>
      <c r="P26" s="341">
        <f t="shared" si="3"/>
        <v>10010</v>
      </c>
      <c r="Q26" s="280">
        <f t="shared" si="0"/>
        <v>131</v>
      </c>
      <c r="R26" s="280">
        <f t="shared" si="1"/>
        <v>4674</v>
      </c>
      <c r="S26" s="273">
        <f t="shared" si="7"/>
        <v>5206</v>
      </c>
      <c r="T26" s="280">
        <f t="shared" si="4"/>
        <v>20538</v>
      </c>
      <c r="U26" s="308">
        <f t="shared" si="2"/>
        <v>1.292389566904671E-2</v>
      </c>
      <c r="V26" s="273">
        <f t="shared" si="5"/>
        <v>10011</v>
      </c>
      <c r="W26" s="273">
        <f t="shared" si="6"/>
        <v>-1</v>
      </c>
    </row>
    <row r="27" spans="1:23" s="280" customFormat="1">
      <c r="A27" s="334" t="s">
        <v>60</v>
      </c>
      <c r="B27" s="270">
        <v>176</v>
      </c>
      <c r="C27" s="270">
        <v>1</v>
      </c>
      <c r="D27" s="270">
        <v>22</v>
      </c>
      <c r="E27" s="271">
        <v>1164</v>
      </c>
      <c r="F27" s="270">
        <v>466</v>
      </c>
      <c r="G27" s="270">
        <v>1</v>
      </c>
      <c r="H27" s="285">
        <v>1829</v>
      </c>
      <c r="I27" s="271">
        <v>6170</v>
      </c>
      <c r="J27" s="270">
        <v>0</v>
      </c>
      <c r="K27" s="270">
        <v>333</v>
      </c>
      <c r="L27" s="270">
        <v>11</v>
      </c>
      <c r="M27" s="285">
        <v>6513</v>
      </c>
      <c r="N27" s="270">
        <v>125</v>
      </c>
      <c r="O27" s="270">
        <v>45</v>
      </c>
      <c r="P27" s="341">
        <f t="shared" si="3"/>
        <v>8512</v>
      </c>
      <c r="Q27" s="280">
        <f t="shared" si="0"/>
        <v>198</v>
      </c>
      <c r="R27" s="280">
        <f t="shared" si="1"/>
        <v>1632</v>
      </c>
      <c r="S27" s="273">
        <f t="shared" si="7"/>
        <v>6683</v>
      </c>
      <c r="T27" s="280">
        <f t="shared" si="4"/>
        <v>13559</v>
      </c>
      <c r="U27" s="308">
        <f t="shared" si="2"/>
        <v>8.5322378701238842E-3</v>
      </c>
      <c r="V27" s="273">
        <f t="shared" si="5"/>
        <v>8513</v>
      </c>
      <c r="W27" s="273">
        <f t="shared" si="6"/>
        <v>-1</v>
      </c>
    </row>
    <row r="28" spans="1:23" s="280" customFormat="1">
      <c r="A28" s="334" t="s">
        <v>76</v>
      </c>
      <c r="B28" s="271">
        <v>2661</v>
      </c>
      <c r="C28" s="270">
        <v>61</v>
      </c>
      <c r="D28" s="270">
        <v>512</v>
      </c>
      <c r="E28" s="271">
        <v>6055</v>
      </c>
      <c r="F28" s="271">
        <v>1276</v>
      </c>
      <c r="G28" s="270">
        <v>24</v>
      </c>
      <c r="H28" s="285">
        <v>10589</v>
      </c>
      <c r="I28" s="271">
        <v>24757</v>
      </c>
      <c r="J28" s="270">
        <v>77</v>
      </c>
      <c r="K28" s="270">
        <v>192</v>
      </c>
      <c r="L28" s="270">
        <v>44</v>
      </c>
      <c r="M28" s="285">
        <v>25070</v>
      </c>
      <c r="N28" s="270">
        <v>44</v>
      </c>
      <c r="O28" s="270">
        <v>223</v>
      </c>
      <c r="P28" s="341">
        <f t="shared" si="3"/>
        <v>35926</v>
      </c>
      <c r="Q28" s="280">
        <f t="shared" si="0"/>
        <v>3173</v>
      </c>
      <c r="R28" s="280">
        <f t="shared" si="1"/>
        <v>7416</v>
      </c>
      <c r="S28" s="273">
        <f t="shared" si="7"/>
        <v>25337</v>
      </c>
      <c r="T28" s="280">
        <f t="shared" si="4"/>
        <v>79315</v>
      </c>
      <c r="U28" s="308">
        <f t="shared" si="2"/>
        <v>4.9910350812661403E-2</v>
      </c>
      <c r="V28" s="273">
        <f t="shared" si="5"/>
        <v>35926</v>
      </c>
      <c r="W28" s="273">
        <f t="shared" si="6"/>
        <v>0</v>
      </c>
    </row>
    <row r="29" spans="1:23" s="280" customFormat="1">
      <c r="A29" s="334" t="s">
        <v>77</v>
      </c>
      <c r="B29" s="270">
        <v>305</v>
      </c>
      <c r="C29" s="270">
        <v>1</v>
      </c>
      <c r="D29" s="270">
        <v>68</v>
      </c>
      <c r="E29" s="270">
        <v>963</v>
      </c>
      <c r="F29" s="270">
        <v>889</v>
      </c>
      <c r="G29" s="270">
        <v>1</v>
      </c>
      <c r="H29" s="285">
        <v>2228</v>
      </c>
      <c r="I29" s="271">
        <v>6438</v>
      </c>
      <c r="J29" s="270">
        <v>0</v>
      </c>
      <c r="K29" s="270">
        <v>141</v>
      </c>
      <c r="L29" s="270">
        <v>70</v>
      </c>
      <c r="M29" s="285">
        <v>6649</v>
      </c>
      <c r="N29" s="270">
        <v>137</v>
      </c>
      <c r="O29" s="270">
        <v>49</v>
      </c>
      <c r="P29" s="341">
        <f t="shared" si="3"/>
        <v>9063</v>
      </c>
      <c r="Q29" s="280">
        <f t="shared" si="0"/>
        <v>373</v>
      </c>
      <c r="R29" s="280">
        <f t="shared" si="1"/>
        <v>1854</v>
      </c>
      <c r="S29" s="273">
        <f t="shared" si="7"/>
        <v>6835</v>
      </c>
      <c r="T29" s="280">
        <f t="shared" si="4"/>
        <v>16127</v>
      </c>
      <c r="U29" s="308">
        <f t="shared" si="2"/>
        <v>1.0148196779370742E-2</v>
      </c>
      <c r="V29" s="273">
        <f t="shared" si="5"/>
        <v>9062</v>
      </c>
      <c r="W29" s="273">
        <f t="shared" si="6"/>
        <v>1</v>
      </c>
    </row>
    <row r="30" spans="1:23" s="280" customFormat="1">
      <c r="A30" s="334" t="s">
        <v>78</v>
      </c>
      <c r="B30" s="271">
        <v>2206</v>
      </c>
      <c r="C30" s="270">
        <v>3</v>
      </c>
      <c r="D30" s="270">
        <v>388</v>
      </c>
      <c r="E30" s="271">
        <v>5141</v>
      </c>
      <c r="F30" s="270">
        <v>866</v>
      </c>
      <c r="G30" s="270">
        <v>7</v>
      </c>
      <c r="H30" s="285">
        <v>8612</v>
      </c>
      <c r="I30" s="271">
        <v>24514</v>
      </c>
      <c r="J30" s="270">
        <v>0</v>
      </c>
      <c r="K30" s="270">
        <v>43</v>
      </c>
      <c r="L30" s="270">
        <v>22</v>
      </c>
      <c r="M30" s="285">
        <v>24580</v>
      </c>
      <c r="N30" s="270">
        <v>0</v>
      </c>
      <c r="O30" s="270">
        <v>654</v>
      </c>
      <c r="P30" s="341">
        <f t="shared" si="3"/>
        <v>33846</v>
      </c>
      <c r="Q30" s="280">
        <f t="shared" si="0"/>
        <v>2594</v>
      </c>
      <c r="R30" s="280">
        <f t="shared" si="1"/>
        <v>6017</v>
      </c>
      <c r="S30" s="273">
        <f t="shared" si="7"/>
        <v>25234</v>
      </c>
      <c r="T30" s="280">
        <f t="shared" si="4"/>
        <v>69225</v>
      </c>
      <c r="U30" s="308">
        <f t="shared" si="2"/>
        <v>4.356104185849443E-2</v>
      </c>
      <c r="V30" s="273">
        <f t="shared" si="5"/>
        <v>33845</v>
      </c>
      <c r="W30" s="273">
        <f t="shared" si="6"/>
        <v>1</v>
      </c>
    </row>
    <row r="31" spans="1:23" s="280" customFormat="1">
      <c r="A31" s="334" t="s">
        <v>79</v>
      </c>
      <c r="B31" s="270">
        <v>649</v>
      </c>
      <c r="C31" s="270">
        <v>169</v>
      </c>
      <c r="D31" s="270">
        <v>165</v>
      </c>
      <c r="E31" s="271">
        <v>1910</v>
      </c>
      <c r="F31" s="270">
        <v>359</v>
      </c>
      <c r="G31" s="270">
        <v>2</v>
      </c>
      <c r="H31" s="285">
        <v>3254</v>
      </c>
      <c r="I31" s="271">
        <v>17165</v>
      </c>
      <c r="J31" s="270">
        <v>0</v>
      </c>
      <c r="K31" s="270">
        <v>0</v>
      </c>
      <c r="L31" s="270">
        <v>15</v>
      </c>
      <c r="M31" s="285">
        <v>17179</v>
      </c>
      <c r="N31" s="271">
        <v>1300</v>
      </c>
      <c r="O31" s="270">
        <v>196</v>
      </c>
      <c r="P31" s="341">
        <f t="shared" si="3"/>
        <v>21929</v>
      </c>
      <c r="Q31" s="280">
        <f t="shared" si="0"/>
        <v>814</v>
      </c>
      <c r="R31" s="280">
        <f t="shared" si="1"/>
        <v>2440</v>
      </c>
      <c r="S31" s="273">
        <f t="shared" si="7"/>
        <v>18675</v>
      </c>
      <c r="T31" s="280">
        <f t="shared" si="4"/>
        <v>34135</v>
      </c>
      <c r="U31" s="308">
        <f t="shared" si="2"/>
        <v>2.1480045703715527E-2</v>
      </c>
      <c r="V31" s="273">
        <f t="shared" si="5"/>
        <v>21929</v>
      </c>
      <c r="W31" s="273">
        <f t="shared" si="6"/>
        <v>0</v>
      </c>
    </row>
    <row r="32" spans="1:23" s="280" customFormat="1">
      <c r="A32" s="334" t="s">
        <v>80</v>
      </c>
      <c r="B32" s="270">
        <v>25</v>
      </c>
      <c r="C32" s="270">
        <v>0</v>
      </c>
      <c r="D32" s="270">
        <v>13</v>
      </c>
      <c r="E32" s="270">
        <v>166</v>
      </c>
      <c r="F32" s="270">
        <v>147</v>
      </c>
      <c r="G32" s="270">
        <v>1</v>
      </c>
      <c r="H32" s="335">
        <v>350</v>
      </c>
      <c r="I32" s="271">
        <v>5710</v>
      </c>
      <c r="J32" s="270">
        <v>0</v>
      </c>
      <c r="K32" s="270">
        <v>10</v>
      </c>
      <c r="L32" s="270">
        <v>5</v>
      </c>
      <c r="M32" s="285">
        <v>5724</v>
      </c>
      <c r="N32" s="270">
        <v>296</v>
      </c>
      <c r="O32" s="270">
        <v>164</v>
      </c>
      <c r="P32" s="341">
        <f t="shared" si="3"/>
        <v>6534</v>
      </c>
      <c r="Q32" s="280">
        <f t="shared" si="0"/>
        <v>38</v>
      </c>
      <c r="R32" s="280">
        <f t="shared" si="1"/>
        <v>314</v>
      </c>
      <c r="S32" s="273">
        <f t="shared" si="7"/>
        <v>6184</v>
      </c>
      <c r="T32" s="280">
        <f t="shared" si="4"/>
        <v>7506</v>
      </c>
      <c r="U32" s="308">
        <f t="shared" si="2"/>
        <v>4.723281765111725E-3</v>
      </c>
      <c r="V32" s="273">
        <f t="shared" si="5"/>
        <v>6536</v>
      </c>
      <c r="W32" s="273">
        <f t="shared" si="6"/>
        <v>-2</v>
      </c>
    </row>
    <row r="33" spans="1:23" s="280" customFormat="1">
      <c r="A33" s="334" t="s">
        <v>81</v>
      </c>
      <c r="B33" s="271">
        <v>2499</v>
      </c>
      <c r="C33" s="270">
        <v>78</v>
      </c>
      <c r="D33" s="270">
        <v>258</v>
      </c>
      <c r="E33" s="271">
        <v>3282</v>
      </c>
      <c r="F33" s="270">
        <v>696</v>
      </c>
      <c r="G33" s="270">
        <v>10</v>
      </c>
      <c r="H33" s="285">
        <v>6823</v>
      </c>
      <c r="I33" s="271">
        <v>24716</v>
      </c>
      <c r="J33" s="270">
        <v>79</v>
      </c>
      <c r="K33" s="270">
        <v>17</v>
      </c>
      <c r="L33" s="270">
        <v>116</v>
      </c>
      <c r="M33" s="285">
        <v>24928</v>
      </c>
      <c r="N33" s="270">
        <v>0</v>
      </c>
      <c r="O33" s="270">
        <v>296</v>
      </c>
      <c r="P33" s="341">
        <f t="shared" si="3"/>
        <v>32047</v>
      </c>
      <c r="Q33" s="280">
        <f t="shared" si="0"/>
        <v>2757</v>
      </c>
      <c r="R33" s="280">
        <f t="shared" si="1"/>
        <v>4066</v>
      </c>
      <c r="S33" s="273">
        <f t="shared" si="7"/>
        <v>25224</v>
      </c>
      <c r="T33" s="280">
        <f t="shared" si="4"/>
        <v>64992</v>
      </c>
      <c r="U33" s="308">
        <f t="shared" si="2"/>
        <v>4.0897352581686815E-2</v>
      </c>
      <c r="V33" s="273">
        <f t="shared" si="5"/>
        <v>32047</v>
      </c>
      <c r="W33" s="273">
        <f t="shared" si="6"/>
        <v>0</v>
      </c>
    </row>
    <row r="34" spans="1:23" s="280" customFormat="1">
      <c r="A34" s="334" t="s">
        <v>52</v>
      </c>
      <c r="B34" s="270">
        <v>759</v>
      </c>
      <c r="C34" s="270">
        <v>114</v>
      </c>
      <c r="D34" s="270">
        <v>55</v>
      </c>
      <c r="E34" s="271">
        <v>2844</v>
      </c>
      <c r="F34" s="270">
        <v>952</v>
      </c>
      <c r="G34" s="270">
        <v>10</v>
      </c>
      <c r="H34" s="285">
        <v>4733</v>
      </c>
      <c r="I34" s="271">
        <v>19810</v>
      </c>
      <c r="J34" s="270">
        <v>132</v>
      </c>
      <c r="K34" s="270">
        <v>18</v>
      </c>
      <c r="L34" s="270">
        <v>58</v>
      </c>
      <c r="M34" s="285">
        <v>20018</v>
      </c>
      <c r="N34" s="270">
        <v>171</v>
      </c>
      <c r="O34" s="270">
        <v>271</v>
      </c>
      <c r="P34" s="341">
        <f t="shared" si="3"/>
        <v>25193</v>
      </c>
      <c r="Q34" s="280">
        <f t="shared" si="0"/>
        <v>814</v>
      </c>
      <c r="R34" s="280">
        <f t="shared" si="1"/>
        <v>3920</v>
      </c>
      <c r="S34" s="273">
        <f t="shared" si="7"/>
        <v>20460</v>
      </c>
      <c r="T34" s="280">
        <f t="shared" si="4"/>
        <v>40360</v>
      </c>
      <c r="U34" s="308">
        <f t="shared" si="2"/>
        <v>2.5397235816667894E-2</v>
      </c>
      <c r="V34" s="273">
        <f t="shared" si="5"/>
        <v>25194</v>
      </c>
      <c r="W34" s="273">
        <f t="shared" si="6"/>
        <v>-1</v>
      </c>
    </row>
    <row r="35" spans="1:23" s="280" customFormat="1">
      <c r="A35" s="334" t="s">
        <v>41</v>
      </c>
      <c r="B35" s="270">
        <v>219</v>
      </c>
      <c r="C35" s="270">
        <v>23</v>
      </c>
      <c r="D35" s="270">
        <v>27</v>
      </c>
      <c r="E35" s="271">
        <v>2169</v>
      </c>
      <c r="F35" s="270">
        <v>658</v>
      </c>
      <c r="G35" s="270">
        <v>3</v>
      </c>
      <c r="H35" s="285">
        <v>3099</v>
      </c>
      <c r="I35" s="271">
        <v>8255</v>
      </c>
      <c r="J35" s="270">
        <v>546</v>
      </c>
      <c r="K35" s="270">
        <v>183</v>
      </c>
      <c r="L35" s="270">
        <v>105</v>
      </c>
      <c r="M35" s="285">
        <v>9088</v>
      </c>
      <c r="N35" s="270">
        <v>569</v>
      </c>
      <c r="O35" s="270">
        <v>183</v>
      </c>
      <c r="P35" s="341">
        <f t="shared" si="3"/>
        <v>12939</v>
      </c>
      <c r="Q35" s="280">
        <f t="shared" si="0"/>
        <v>246</v>
      </c>
      <c r="R35" s="280">
        <f t="shared" si="1"/>
        <v>2853</v>
      </c>
      <c r="S35" s="273">
        <f t="shared" si="7"/>
        <v>9840</v>
      </c>
      <c r="T35" s="280">
        <f t="shared" si="4"/>
        <v>20859</v>
      </c>
      <c r="U35" s="308">
        <f t="shared" si="2"/>
        <v>1.3125890532702567E-2</v>
      </c>
      <c r="V35" s="273">
        <f t="shared" si="5"/>
        <v>12939</v>
      </c>
      <c r="W35" s="273">
        <f t="shared" si="6"/>
        <v>0</v>
      </c>
    </row>
    <row r="36" spans="1:23" s="280" customFormat="1">
      <c r="A36" s="334" t="s">
        <v>82</v>
      </c>
      <c r="B36" s="271">
        <v>2670</v>
      </c>
      <c r="C36" s="270">
        <v>66</v>
      </c>
      <c r="D36" s="270">
        <v>591</v>
      </c>
      <c r="E36" s="271">
        <v>6373</v>
      </c>
      <c r="F36" s="270">
        <v>855</v>
      </c>
      <c r="G36" s="270">
        <v>9</v>
      </c>
      <c r="H36" s="285">
        <v>10564</v>
      </c>
      <c r="I36" s="271">
        <v>27667</v>
      </c>
      <c r="J36" s="270">
        <v>0</v>
      </c>
      <c r="K36" s="270">
        <v>84</v>
      </c>
      <c r="L36" s="270">
        <v>34</v>
      </c>
      <c r="M36" s="285">
        <v>27785</v>
      </c>
      <c r="N36" s="270">
        <v>5</v>
      </c>
      <c r="O36" s="270">
        <v>469</v>
      </c>
      <c r="P36" s="341">
        <f t="shared" si="3"/>
        <v>38823</v>
      </c>
      <c r="Q36" s="280">
        <f t="shared" si="0"/>
        <v>3261</v>
      </c>
      <c r="R36" s="280">
        <f t="shared" si="1"/>
        <v>7303</v>
      </c>
      <c r="S36" s="273">
        <f t="shared" si="7"/>
        <v>28259</v>
      </c>
      <c r="T36" s="280">
        <f t="shared" si="4"/>
        <v>82778</v>
      </c>
      <c r="U36" s="308">
        <f t="shared" si="2"/>
        <v>5.2089504123690164E-2</v>
      </c>
      <c r="V36" s="273">
        <f t="shared" si="5"/>
        <v>38823</v>
      </c>
      <c r="W36" s="273">
        <f t="shared" si="6"/>
        <v>0</v>
      </c>
    </row>
    <row r="37" spans="1:23" s="280" customFormat="1">
      <c r="A37" s="334" t="s">
        <v>54</v>
      </c>
      <c r="B37" s="270">
        <v>696</v>
      </c>
      <c r="C37" s="270">
        <v>0</v>
      </c>
      <c r="D37" s="270">
        <v>96</v>
      </c>
      <c r="E37" s="271">
        <v>1044</v>
      </c>
      <c r="F37" s="270">
        <v>652</v>
      </c>
      <c r="G37" s="270">
        <v>1</v>
      </c>
      <c r="H37" s="285">
        <v>2489</v>
      </c>
      <c r="I37" s="271">
        <v>11355</v>
      </c>
      <c r="J37" s="270">
        <v>561</v>
      </c>
      <c r="K37" s="270">
        <v>315</v>
      </c>
      <c r="L37" s="270">
        <v>8</v>
      </c>
      <c r="M37" s="285">
        <v>12238</v>
      </c>
      <c r="N37" s="270">
        <v>428</v>
      </c>
      <c r="O37" s="270">
        <v>18</v>
      </c>
      <c r="P37" s="341">
        <f t="shared" si="3"/>
        <v>15173</v>
      </c>
      <c r="Q37" s="280">
        <f t="shared" si="0"/>
        <v>792</v>
      </c>
      <c r="R37" s="280">
        <f t="shared" si="1"/>
        <v>1697</v>
      </c>
      <c r="S37" s="273">
        <f t="shared" si="7"/>
        <v>12684</v>
      </c>
      <c r="T37" s="280">
        <f t="shared" si="4"/>
        <v>25695</v>
      </c>
      <c r="U37" s="308">
        <f t="shared" si="2"/>
        <v>1.616902810478894E-2</v>
      </c>
      <c r="V37" s="273">
        <f t="shared" si="5"/>
        <v>15173</v>
      </c>
      <c r="W37" s="273">
        <f t="shared" si="6"/>
        <v>0</v>
      </c>
    </row>
    <row r="38" spans="1:23" s="280" customFormat="1">
      <c r="A38" s="334" t="s">
        <v>21</v>
      </c>
      <c r="B38" s="270">
        <v>600</v>
      </c>
      <c r="C38" s="270">
        <v>0</v>
      </c>
      <c r="D38" s="270">
        <v>114</v>
      </c>
      <c r="E38" s="271">
        <v>4779</v>
      </c>
      <c r="F38" s="270">
        <v>918</v>
      </c>
      <c r="G38" s="270">
        <v>2</v>
      </c>
      <c r="H38" s="285">
        <v>6413</v>
      </c>
      <c r="I38" s="271">
        <v>17371</v>
      </c>
      <c r="J38" s="270">
        <v>0</v>
      </c>
      <c r="K38" s="270">
        <v>3</v>
      </c>
      <c r="L38" s="270">
        <v>7</v>
      </c>
      <c r="M38" s="285">
        <v>17381</v>
      </c>
      <c r="N38" s="270">
        <v>57</v>
      </c>
      <c r="O38" s="270">
        <v>124</v>
      </c>
      <c r="P38" s="341">
        <f t="shared" si="3"/>
        <v>23975</v>
      </c>
      <c r="Q38" s="280">
        <f t="shared" si="0"/>
        <v>714</v>
      </c>
      <c r="R38" s="280">
        <f t="shared" si="1"/>
        <v>5699</v>
      </c>
      <c r="S38" s="273">
        <f t="shared" si="7"/>
        <v>17562</v>
      </c>
      <c r="T38" s="280">
        <f t="shared" si="4"/>
        <v>41799</v>
      </c>
      <c r="U38" s="308">
        <f t="shared" si="2"/>
        <v>2.6302751731935119E-2</v>
      </c>
      <c r="V38" s="273">
        <f t="shared" si="5"/>
        <v>23975</v>
      </c>
      <c r="W38" s="273">
        <f t="shared" si="6"/>
        <v>0</v>
      </c>
    </row>
    <row r="39" spans="1:23" s="280" customFormat="1">
      <c r="A39" s="334" t="s">
        <v>42</v>
      </c>
      <c r="B39" s="270">
        <v>84</v>
      </c>
      <c r="C39" s="270">
        <v>0</v>
      </c>
      <c r="D39" s="270">
        <v>16</v>
      </c>
      <c r="E39" s="270">
        <v>184</v>
      </c>
      <c r="F39" s="270">
        <v>297</v>
      </c>
      <c r="G39" s="270">
        <v>1</v>
      </c>
      <c r="H39" s="335">
        <v>581</v>
      </c>
      <c r="I39" s="271">
        <v>4035</v>
      </c>
      <c r="J39" s="270">
        <v>9</v>
      </c>
      <c r="K39" s="270">
        <v>0</v>
      </c>
      <c r="L39" s="270">
        <v>5</v>
      </c>
      <c r="M39" s="285">
        <v>4048</v>
      </c>
      <c r="N39" s="270">
        <v>399</v>
      </c>
      <c r="O39" s="270">
        <v>280</v>
      </c>
      <c r="P39" s="341">
        <f t="shared" si="3"/>
        <v>5308</v>
      </c>
      <c r="Q39" s="280">
        <f t="shared" si="0"/>
        <v>100</v>
      </c>
      <c r="R39" s="280">
        <f t="shared" si="1"/>
        <v>482</v>
      </c>
      <c r="S39" s="273">
        <f t="shared" si="7"/>
        <v>4727</v>
      </c>
      <c r="T39" s="280">
        <f t="shared" si="4"/>
        <v>7173</v>
      </c>
      <c r="U39" s="308">
        <f t="shared" si="2"/>
        <v>4.5137356915995741E-3</v>
      </c>
      <c r="V39" s="273">
        <f t="shared" si="5"/>
        <v>5309</v>
      </c>
      <c r="W39" s="273">
        <f t="shared" si="6"/>
        <v>-1</v>
      </c>
    </row>
    <row r="40" spans="1:23" s="280" customFormat="1">
      <c r="A40" s="334" t="s">
        <v>83</v>
      </c>
      <c r="B40" s="271">
        <v>1456</v>
      </c>
      <c r="C40" s="270">
        <v>23</v>
      </c>
      <c r="D40" s="270">
        <v>189</v>
      </c>
      <c r="E40" s="271">
        <v>1461</v>
      </c>
      <c r="F40" s="270">
        <v>456</v>
      </c>
      <c r="G40" s="270">
        <v>22</v>
      </c>
      <c r="H40" s="285">
        <v>3607</v>
      </c>
      <c r="I40" s="271">
        <v>14038</v>
      </c>
      <c r="J40" s="270">
        <v>0</v>
      </c>
      <c r="K40" s="270">
        <v>23</v>
      </c>
      <c r="L40" s="270">
        <v>78</v>
      </c>
      <c r="M40" s="285">
        <v>14139</v>
      </c>
      <c r="N40" s="270">
        <v>79</v>
      </c>
      <c r="O40" s="270">
        <v>1</v>
      </c>
      <c r="P40" s="341">
        <f t="shared" si="3"/>
        <v>17826</v>
      </c>
      <c r="Q40" s="280">
        <f t="shared" si="0"/>
        <v>1645</v>
      </c>
      <c r="R40" s="280">
        <f t="shared" si="1"/>
        <v>1962</v>
      </c>
      <c r="S40" s="273">
        <f t="shared" si="7"/>
        <v>14219</v>
      </c>
      <c r="T40" s="280">
        <f t="shared" si="4"/>
        <v>36555</v>
      </c>
      <c r="U40" s="308">
        <f t="shared" si="2"/>
        <v>2.3002873024734759E-2</v>
      </c>
      <c r="V40" s="273">
        <f t="shared" si="5"/>
        <v>17826</v>
      </c>
      <c r="W40" s="273">
        <f t="shared" si="6"/>
        <v>0</v>
      </c>
    </row>
    <row r="41" spans="1:23" s="280" customFormat="1">
      <c r="A41" s="334" t="s">
        <v>22</v>
      </c>
      <c r="B41" s="270">
        <v>430</v>
      </c>
      <c r="C41" s="270">
        <v>0</v>
      </c>
      <c r="D41" s="270">
        <v>50</v>
      </c>
      <c r="E41" s="271">
        <v>3096</v>
      </c>
      <c r="F41" s="270">
        <v>420</v>
      </c>
      <c r="G41" s="270">
        <v>0</v>
      </c>
      <c r="H41" s="285">
        <v>3996</v>
      </c>
      <c r="I41" s="271">
        <v>21104</v>
      </c>
      <c r="J41" s="270">
        <v>0</v>
      </c>
      <c r="K41" s="270">
        <v>360</v>
      </c>
      <c r="L41" s="270">
        <v>7</v>
      </c>
      <c r="M41" s="285">
        <v>21471</v>
      </c>
      <c r="N41" s="270">
        <v>332</v>
      </c>
      <c r="O41" s="270">
        <v>265</v>
      </c>
      <c r="P41" s="341">
        <f t="shared" si="3"/>
        <v>26064</v>
      </c>
      <c r="Q41" s="280">
        <f t="shared" si="0"/>
        <v>480</v>
      </c>
      <c r="R41" s="280">
        <f t="shared" si="1"/>
        <v>3516</v>
      </c>
      <c r="S41" s="273">
        <f t="shared" si="7"/>
        <v>22068</v>
      </c>
      <c r="T41" s="280">
        <f t="shared" si="4"/>
        <v>37416</v>
      </c>
      <c r="U41" s="308">
        <f t="shared" si="2"/>
        <v>2.3544672331923835E-2</v>
      </c>
      <c r="V41" s="273">
        <f t="shared" si="5"/>
        <v>26064</v>
      </c>
      <c r="W41" s="273">
        <f t="shared" si="6"/>
        <v>0</v>
      </c>
    </row>
    <row r="42" spans="1:23" s="280" customFormat="1">
      <c r="A42" s="334" t="s">
        <v>23</v>
      </c>
      <c r="B42" s="270">
        <v>821</v>
      </c>
      <c r="C42" s="270">
        <v>0</v>
      </c>
      <c r="D42" s="270">
        <v>148</v>
      </c>
      <c r="E42" s="271">
        <v>3038</v>
      </c>
      <c r="F42" s="270">
        <v>733</v>
      </c>
      <c r="G42" s="270">
        <v>0</v>
      </c>
      <c r="H42" s="285">
        <v>4740</v>
      </c>
      <c r="I42" s="271">
        <v>13804</v>
      </c>
      <c r="J42" s="270">
        <v>0</v>
      </c>
      <c r="K42" s="270">
        <v>0</v>
      </c>
      <c r="L42" s="270">
        <v>7</v>
      </c>
      <c r="M42" s="285">
        <v>13810</v>
      </c>
      <c r="N42" s="270">
        <v>313</v>
      </c>
      <c r="O42" s="270">
        <v>308</v>
      </c>
      <c r="P42" s="341">
        <f t="shared" si="3"/>
        <v>19171</v>
      </c>
      <c r="Q42" s="280">
        <f t="shared" si="0"/>
        <v>969</v>
      </c>
      <c r="R42" s="280">
        <f t="shared" si="1"/>
        <v>3771</v>
      </c>
      <c r="S42" s="273">
        <f t="shared" si="7"/>
        <v>14431</v>
      </c>
      <c r="T42" s="280">
        <f t="shared" si="4"/>
        <v>35434</v>
      </c>
      <c r="U42" s="308">
        <f t="shared" si="2"/>
        <v>2.2297464170659323E-2</v>
      </c>
      <c r="V42" s="273">
        <f t="shared" si="5"/>
        <v>19171</v>
      </c>
      <c r="W42" s="273">
        <f t="shared" si="6"/>
        <v>0</v>
      </c>
    </row>
    <row r="43" spans="1:23" s="280" customFormat="1">
      <c r="A43" s="334" t="s">
        <v>33</v>
      </c>
      <c r="B43" s="270">
        <v>409</v>
      </c>
      <c r="C43" s="270">
        <v>31</v>
      </c>
      <c r="D43" s="270">
        <v>40</v>
      </c>
      <c r="E43" s="271">
        <v>1313</v>
      </c>
      <c r="F43" s="270">
        <v>654</v>
      </c>
      <c r="G43" s="270">
        <v>0</v>
      </c>
      <c r="H43" s="285">
        <v>2448</v>
      </c>
      <c r="I43" s="271">
        <v>13712</v>
      </c>
      <c r="J43" s="270">
        <v>4</v>
      </c>
      <c r="K43" s="270">
        <v>0</v>
      </c>
      <c r="L43" s="270">
        <v>5</v>
      </c>
      <c r="M43" s="285">
        <v>13721</v>
      </c>
      <c r="N43" s="270">
        <v>277</v>
      </c>
      <c r="O43" s="270">
        <v>134</v>
      </c>
      <c r="P43" s="341">
        <f t="shared" si="3"/>
        <v>16580</v>
      </c>
      <c r="Q43" s="280">
        <f t="shared" si="0"/>
        <v>449</v>
      </c>
      <c r="R43" s="280">
        <f t="shared" si="1"/>
        <v>1998</v>
      </c>
      <c r="S43" s="273">
        <f t="shared" si="7"/>
        <v>14132</v>
      </c>
      <c r="T43" s="280">
        <f t="shared" si="4"/>
        <v>24616</v>
      </c>
      <c r="U43" s="308">
        <f t="shared" si="2"/>
        <v>1.5490048485210527E-2</v>
      </c>
      <c r="V43" s="273">
        <f t="shared" si="5"/>
        <v>16579</v>
      </c>
      <c r="W43" s="273">
        <f t="shared" si="6"/>
        <v>1</v>
      </c>
    </row>
    <row r="44" spans="1:23" s="337" customFormat="1" ht="13.35" customHeight="1" thickBot="1">
      <c r="A44" s="407" t="s">
        <v>10</v>
      </c>
      <c r="B44" s="259">
        <f>SUM(B5:B43)</f>
        <v>31725</v>
      </c>
      <c r="C44" s="259">
        <f t="shared" ref="C44:O44" si="8">SUM(C5:C43)</f>
        <v>876</v>
      </c>
      <c r="D44" s="259">
        <f t="shared" si="8"/>
        <v>4813</v>
      </c>
      <c r="E44" s="259">
        <f t="shared" si="8"/>
        <v>97521</v>
      </c>
      <c r="F44" s="259">
        <f t="shared" si="8"/>
        <v>30607</v>
      </c>
      <c r="G44" s="259">
        <f t="shared" si="8"/>
        <v>239</v>
      </c>
      <c r="H44" s="336">
        <f t="shared" si="8"/>
        <v>165768</v>
      </c>
      <c r="I44" s="259">
        <f t="shared" si="8"/>
        <v>581288</v>
      </c>
      <c r="J44" s="259">
        <f t="shared" si="8"/>
        <v>4219</v>
      </c>
      <c r="K44" s="259">
        <f t="shared" si="8"/>
        <v>4671</v>
      </c>
      <c r="L44" s="259">
        <f t="shared" si="8"/>
        <v>1383</v>
      </c>
      <c r="M44" s="336">
        <f t="shared" si="8"/>
        <v>591551</v>
      </c>
      <c r="N44" s="259">
        <f t="shared" si="8"/>
        <v>7526</v>
      </c>
      <c r="O44" s="259">
        <f t="shared" si="8"/>
        <v>8029</v>
      </c>
      <c r="P44" s="342">
        <f t="shared" ref="P44:V44" si="9">SUM(P5:P43)</f>
        <v>772874</v>
      </c>
      <c r="Q44" s="259">
        <f t="shared" si="9"/>
        <v>36538</v>
      </c>
      <c r="R44" s="259">
        <f t="shared" si="9"/>
        <v>129243</v>
      </c>
      <c r="S44" s="259">
        <f t="shared" si="9"/>
        <v>607106</v>
      </c>
      <c r="T44" s="259">
        <f t="shared" si="9"/>
        <v>1360215</v>
      </c>
      <c r="U44" s="344">
        <f>SUM(U5:U43)</f>
        <v>0.85593907622321386</v>
      </c>
      <c r="V44" s="259">
        <f t="shared" si="9"/>
        <v>772887</v>
      </c>
      <c r="W44" s="259"/>
    </row>
    <row r="45" spans="1:23" s="280" customFormat="1">
      <c r="A45" s="312" t="s">
        <v>101</v>
      </c>
      <c r="B45" s="271">
        <f>'Tbl 35 2008'!B43</f>
        <v>30049</v>
      </c>
      <c r="C45" s="271">
        <f>'Tbl 35 2008'!C43</f>
        <v>903</v>
      </c>
      <c r="D45" s="271">
        <f>'Tbl 35 2008'!D43</f>
        <v>4773</v>
      </c>
      <c r="E45" s="271">
        <f>'Tbl 35 2008'!E43</f>
        <v>89627</v>
      </c>
      <c r="F45" s="271">
        <f>'Tbl 35 2008'!F43</f>
        <v>29382</v>
      </c>
      <c r="G45" s="271">
        <f>'Tbl 35 2008'!G43</f>
        <v>241</v>
      </c>
      <c r="H45" s="285">
        <f>'Tbl 35 2008'!H43</f>
        <v>154969</v>
      </c>
      <c r="I45" s="271">
        <f>'Tbl 35 2008'!I43</f>
        <v>546823</v>
      </c>
      <c r="J45" s="271">
        <f>'Tbl 35 2008'!J43</f>
        <v>3987</v>
      </c>
      <c r="K45" s="271">
        <f>'Tbl 35 2008'!K43</f>
        <v>4085</v>
      </c>
      <c r="L45" s="271">
        <f>'Tbl 35 2008'!L43</f>
        <v>1380</v>
      </c>
      <c r="M45" s="285">
        <f>'Tbl 35 2008'!M43</f>
        <v>556271</v>
      </c>
      <c r="N45" s="271">
        <f>'Tbl 35 2008'!N43</f>
        <v>5657</v>
      </c>
      <c r="O45" s="271">
        <f>'Tbl 35 2008'!O43</f>
        <v>8332</v>
      </c>
      <c r="P45" s="341">
        <f>'Tbl 35 2008'!P43</f>
        <v>725229</v>
      </c>
      <c r="Q45" s="280">
        <f>'Tbl 35 2008'!Q43</f>
        <v>34822</v>
      </c>
      <c r="R45" s="280">
        <f>'Tbl 35 2008'!R43</f>
        <v>120153</v>
      </c>
      <c r="S45" s="280">
        <f>'Tbl 35 2008'!S43</f>
        <v>570260</v>
      </c>
      <c r="T45" s="280">
        <f>'Tbl 35 2008'!T43</f>
        <v>1278939</v>
      </c>
    </row>
    <row r="46" spans="1:23" s="280" customFormat="1">
      <c r="A46" s="312" t="s">
        <v>102</v>
      </c>
      <c r="B46" s="338">
        <f t="shared" ref="B46:G46" si="10">SUM(B44-B45)/B45</f>
        <v>5.5775566574594829E-2</v>
      </c>
      <c r="C46" s="338">
        <f t="shared" si="10"/>
        <v>-2.9900332225913623E-2</v>
      </c>
      <c r="D46" s="338">
        <f t="shared" si="10"/>
        <v>8.3804734967525673E-3</v>
      </c>
      <c r="E46" s="338">
        <f t="shared" si="10"/>
        <v>8.8076137770984192E-2</v>
      </c>
      <c r="F46" s="338">
        <f t="shared" si="10"/>
        <v>4.1692192498808796E-2</v>
      </c>
      <c r="G46" s="338">
        <f t="shared" si="10"/>
        <v>-8.2987551867219917E-3</v>
      </c>
      <c r="H46" s="339">
        <f t="shared" ref="H46:P46" si="11">SUM(H44,-H45)/H45</f>
        <v>6.9684904722880053E-2</v>
      </c>
      <c r="I46" s="338">
        <f t="shared" si="11"/>
        <v>6.3027707320284621E-2</v>
      </c>
      <c r="J46" s="338">
        <f t="shared" si="11"/>
        <v>5.81891146225232E-2</v>
      </c>
      <c r="K46" s="338">
        <f t="shared" si="11"/>
        <v>0.1434516523867809</v>
      </c>
      <c r="L46" s="338">
        <f t="shared" si="11"/>
        <v>2.1739130434782609E-3</v>
      </c>
      <c r="M46" s="339">
        <f t="shared" si="11"/>
        <v>6.3422324730212434E-2</v>
      </c>
      <c r="N46" s="338">
        <f t="shared" si="11"/>
        <v>0.33038713098815625</v>
      </c>
      <c r="O46" s="338">
        <f t="shared" si="11"/>
        <v>-3.6365818530964954E-2</v>
      </c>
      <c r="P46" s="343">
        <f t="shared" si="11"/>
        <v>6.5696490349944639E-2</v>
      </c>
      <c r="Q46" s="308">
        <f>(Q44-Q45)/Q45</f>
        <v>4.9279191315834817E-2</v>
      </c>
      <c r="R46" s="308">
        <f>(R44-R45)/R45</f>
        <v>7.5653541734288787E-2</v>
      </c>
      <c r="S46" s="308">
        <f>(S44-S45)/S45</f>
        <v>6.4612632834145825E-2</v>
      </c>
      <c r="T46" s="308">
        <f>(T44-T45)/T45</f>
        <v>6.3549551620522948E-2</v>
      </c>
    </row>
    <row r="47" spans="1:23">
      <c r="P47" s="488"/>
    </row>
    <row r="48" spans="1:23">
      <c r="A48" s="316" t="str">
        <f>'NZ EFT08-2011'!$B$54</f>
        <v>Auckland University of Technology</v>
      </c>
      <c r="P48" s="486">
        <f>SUM(Q48:S48)</f>
        <v>15464.68000000006</v>
      </c>
      <c r="Q48" s="319">
        <f>'NZ EFT08-2011'!I57+'NZ EFT08-2011'!I58</f>
        <v>483.44970000000001</v>
      </c>
      <c r="R48" s="319">
        <f>'NZ EFT08-2011'!I56</f>
        <v>969.42639999999994</v>
      </c>
      <c r="S48" s="319">
        <f>'NZ EFT08-2011'!I55+'NZ EFT08-2011'!I59</f>
        <v>14011.803900000061</v>
      </c>
      <c r="T48" s="320">
        <f t="shared" ref="T48:T55" si="12">(10*Q48)+(3*R48)+S48</f>
        <v>21754.580100000061</v>
      </c>
      <c r="U48" s="308">
        <f t="shared" ref="U48:U55" si="13">T48/($T$44+$T$56)</f>
        <v>1.3689449972554316E-2</v>
      </c>
    </row>
    <row r="49" spans="1:23">
      <c r="A49" s="316" t="str">
        <f>'NZ EFT08-2011'!$B$40</f>
        <v>Lincoln University</v>
      </c>
      <c r="P49" s="486">
        <f t="shared" ref="P49:P55" si="14">SUM(Q49:S49)</f>
        <v>2345.489499999997</v>
      </c>
      <c r="Q49" s="319">
        <f>'NZ EFT08-2011'!I43+'NZ EFT08-2011'!I44</f>
        <v>301.37509999999997</v>
      </c>
      <c r="R49" s="319">
        <f>'NZ EFT08-2011'!I42</f>
        <v>157.49180000000001</v>
      </c>
      <c r="S49" s="319">
        <f>'NZ EFT08-2011'!I41+'NZ EFT08-2011'!I45</f>
        <v>1886.622599999997</v>
      </c>
      <c r="T49" s="320">
        <f t="shared" si="12"/>
        <v>5372.8489999999965</v>
      </c>
      <c r="U49" s="308">
        <f t="shared" si="13"/>
        <v>3.3809591937648217E-3</v>
      </c>
    </row>
    <row r="50" spans="1:23">
      <c r="A50" s="316" t="str">
        <f>'NZ EFT08-2011'!$B$19</f>
        <v>Massey University</v>
      </c>
      <c r="P50" s="486">
        <f t="shared" si="14"/>
        <v>19296.220500000531</v>
      </c>
      <c r="Q50" s="319">
        <f>'NZ EFT08-2011'!I22+'NZ EFT08-2011'!I23</f>
        <v>1456.2477000000001</v>
      </c>
      <c r="R50" s="319">
        <f>'NZ EFT08-2011'!I21</f>
        <v>2098.7396999999901</v>
      </c>
      <c r="S50" s="319">
        <f>'NZ EFT08-2011'!I20+'NZ EFT08-2011'!I24</f>
        <v>15741.23310000054</v>
      </c>
      <c r="T50" s="320">
        <f t="shared" si="12"/>
        <v>36599.929200000508</v>
      </c>
      <c r="U50" s="308">
        <f t="shared" si="13"/>
        <v>2.3031145509558031E-2</v>
      </c>
    </row>
    <row r="51" spans="1:23">
      <c r="A51" s="316" t="str">
        <f>'NZ EFT08-2011'!$B$5</f>
        <v>University of Auckland</v>
      </c>
      <c r="P51" s="486">
        <f t="shared" si="14"/>
        <v>31241.299699999792</v>
      </c>
      <c r="Q51" s="319">
        <f>'NZ EFT08-2011'!I8+'NZ EFT08-2011'!I9</f>
        <v>1986.6487000000002</v>
      </c>
      <c r="R51" s="319">
        <f>'NZ EFT08-2011'!I7</f>
        <v>3869.1259999998301</v>
      </c>
      <c r="S51" s="319">
        <f>'NZ EFT08-2011'!I6+'NZ EFT08-2011'!I10</f>
        <v>25385.524999999961</v>
      </c>
      <c r="T51" s="320">
        <f t="shared" si="12"/>
        <v>56859.389999999454</v>
      </c>
      <c r="U51" s="308">
        <f t="shared" si="13"/>
        <v>3.5779765515903728E-2</v>
      </c>
    </row>
    <row r="52" spans="1:23">
      <c r="A52" s="316" t="str">
        <f>'NZ EFT08-2011'!$B$33</f>
        <v>University of Canterbury</v>
      </c>
      <c r="P52" s="486">
        <f t="shared" si="14"/>
        <v>14956.807799996504</v>
      </c>
      <c r="Q52" s="319">
        <f>'NZ EFT08-2011'!I36</f>
        <v>948.13890000000004</v>
      </c>
      <c r="R52" s="319">
        <f>'NZ EFT08-2011'!I35</f>
        <v>922.78520000000401</v>
      </c>
      <c r="S52" s="319">
        <f>'NZ EFT08-2011'!I34+'NZ EFT08-2011'!I38</f>
        <v>13085.883699996501</v>
      </c>
      <c r="T52" s="320">
        <f t="shared" si="12"/>
        <v>25335.628299996511</v>
      </c>
      <c r="U52" s="308">
        <f t="shared" si="13"/>
        <v>1.5942887177860656E-2</v>
      </c>
    </row>
    <row r="53" spans="1:23">
      <c r="A53" s="316" t="str">
        <f>'NZ EFT08-2011'!$B$47</f>
        <v>University of Otago</v>
      </c>
      <c r="P53" s="486">
        <f t="shared" si="14"/>
        <v>18965.017899984268</v>
      </c>
      <c r="Q53" s="319">
        <f>'NZ EFT08-2011'!I50+'NZ EFT08-2011'!I51</f>
        <v>1423.663</v>
      </c>
      <c r="R53" s="319">
        <f>'NZ EFT08-2011'!I49</f>
        <v>1335.04430000004</v>
      </c>
      <c r="S53" s="319">
        <f>'NZ EFT08-2011'!I48+'NZ EFT08-2011'!I52</f>
        <v>16206.31059998423</v>
      </c>
      <c r="T53" s="320">
        <f t="shared" si="12"/>
        <v>34448.073499984355</v>
      </c>
      <c r="U53" s="308">
        <f t="shared" si="13"/>
        <v>2.1677052678617713E-2</v>
      </c>
    </row>
    <row r="54" spans="1:23">
      <c r="A54" s="316" t="str">
        <f>'NZ EFT08-2011'!$B$12</f>
        <v>University of Waikato</v>
      </c>
      <c r="P54" s="486">
        <f t="shared" si="14"/>
        <v>9937.8372999998282</v>
      </c>
      <c r="Q54" s="319">
        <f>'NZ EFT08-2011'!I15+'NZ EFT08-2011'!I16</f>
        <v>577.12380000000098</v>
      </c>
      <c r="R54" s="319">
        <f>'NZ EFT08-2011'!I14</f>
        <v>954.43489999999701</v>
      </c>
      <c r="S54" s="319">
        <f>'NZ EFT08-2011'!I13+'NZ EFT08-2011'!I17</f>
        <v>8406.2785999998305</v>
      </c>
      <c r="T54" s="320">
        <f t="shared" si="12"/>
        <v>17040.821299999832</v>
      </c>
      <c r="U54" s="308">
        <f t="shared" si="13"/>
        <v>1.0723234813324899E-2</v>
      </c>
    </row>
    <row r="55" spans="1:23">
      <c r="A55" s="316" t="str">
        <f>'NZ EFT08-2011'!$B$26</f>
        <v>Victoria University of Wellington</v>
      </c>
      <c r="P55" s="486">
        <f t="shared" si="14"/>
        <v>17528.265300000647</v>
      </c>
      <c r="Q55" s="319">
        <f>'NZ EFT08-2011'!I29+'NZ EFT08-2011'!I30</f>
        <v>1215.1088</v>
      </c>
      <c r="R55" s="319">
        <f>'NZ EFT08-2011'!I28</f>
        <v>1529.4014999999999</v>
      </c>
      <c r="S55" s="319">
        <f>'NZ EFT08-2011'!I27+'NZ EFT08-2011'!I31</f>
        <v>14783.755000000649</v>
      </c>
      <c r="T55" s="320">
        <f t="shared" si="12"/>
        <v>31523.047500000648</v>
      </c>
      <c r="U55" s="308">
        <f t="shared" si="13"/>
        <v>1.9836428915201681E-2</v>
      </c>
    </row>
    <row r="56" spans="1:23" ht="12" thickBot="1">
      <c r="A56" s="407" t="s">
        <v>134</v>
      </c>
      <c r="B56" s="483"/>
      <c r="C56" s="483"/>
      <c r="D56" s="483"/>
      <c r="E56" s="483"/>
      <c r="F56" s="483"/>
      <c r="G56" s="483"/>
      <c r="H56" s="483"/>
      <c r="I56" s="483"/>
      <c r="J56" s="483"/>
      <c r="K56" s="483"/>
      <c r="L56" s="483"/>
      <c r="M56" s="483"/>
      <c r="N56" s="483"/>
      <c r="O56" s="483"/>
      <c r="P56" s="261">
        <f t="shared" ref="P56:U56" si="15">SUM(P48:P55)</f>
        <v>129735.61799998162</v>
      </c>
      <c r="Q56" s="259">
        <f t="shared" si="15"/>
        <v>8391.7557000000015</v>
      </c>
      <c r="R56" s="259">
        <f t="shared" si="15"/>
        <v>11836.44979999986</v>
      </c>
      <c r="S56" s="259">
        <f t="shared" si="15"/>
        <v>109507.41249998177</v>
      </c>
      <c r="T56" s="259">
        <f t="shared" si="15"/>
        <v>228934.31889998136</v>
      </c>
      <c r="U56" s="344">
        <f t="shared" si="15"/>
        <v>0.14406092377678587</v>
      </c>
      <c r="V56" s="322"/>
      <c r="W56" s="322"/>
    </row>
    <row r="58" spans="1:23">
      <c r="A58" s="316" t="s">
        <v>132</v>
      </c>
      <c r="P58" s="520">
        <f>P44+P56</f>
        <v>902609.61799998162</v>
      </c>
      <c r="Q58" s="340">
        <f>Q44+Q56</f>
        <v>44929.755700000002</v>
      </c>
      <c r="R58" s="340">
        <f>R44+R56</f>
        <v>141079.44979999986</v>
      </c>
      <c r="S58" s="340">
        <f>S44+S56</f>
        <v>716613.41249998182</v>
      </c>
      <c r="T58" s="340">
        <f>T44+T56</f>
        <v>1589149.3188999814</v>
      </c>
      <c r="U58" s="324">
        <f>SUM(U5:U43)+SUM(U48:U55)</f>
        <v>0.99999999999999978</v>
      </c>
    </row>
    <row r="59" spans="1:23">
      <c r="U59" s="325" t="str">
        <f>IF(U44+U56=U58,"ok","check!!")</f>
        <v>ok</v>
      </c>
    </row>
  </sheetData>
  <autoFilter ref="A4:X4" xr:uid="{00000000-0009-0000-0000-00000F000000}"/>
  <mergeCells count="1">
    <mergeCell ref="A2:P2"/>
  </mergeCells>
  <phoneticPr fontId="17" type="noConversion"/>
  <hyperlinks>
    <hyperlink ref="A1" location="Index!A1" display="&lt; Back to Index &gt;" xr:uid="{00000000-0004-0000-0F00-000000000000}"/>
    <hyperlink ref="W1" location="'Ave weight 1996-2013'!A1" display="Ave weight 1996-2013" xr:uid="{00000000-0004-0000-0F00-000001000000}"/>
  </hyperlinks>
  <pageMargins left="0.39370078740157483" right="0.31496062992125984" top="0.59055118110236227" bottom="0.39370078740157483" header="0" footer="0"/>
  <pageSetup paperSize="9" scale="74" orientation="landscape" r:id="rId1"/>
  <headerFooter alignWithMargins="0"/>
  <rowBreaks count="1" manualBreakCount="1">
    <brk id="3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dimension ref="A1:V86"/>
  <sheetViews>
    <sheetView zoomScaleNormal="100" workbookViewId="0">
      <pane xSplit="1" ySplit="4" topLeftCell="G5" activePane="bottomRight" state="frozen"/>
      <selection pane="topRight" activeCell="B1" sqref="B1"/>
      <selection pane="bottomLeft" activeCell="A5" sqref="A5"/>
      <selection pane="bottomRight" activeCell="A55" sqref="A55:IV55"/>
    </sheetView>
  </sheetViews>
  <sheetFormatPr defaultColWidth="9.140625" defaultRowHeight="11.25"/>
  <cols>
    <col min="1" max="1" width="33.28515625" style="316" customWidth="1"/>
    <col min="2" max="3" width="11.28515625" style="317" customWidth="1"/>
    <col min="4" max="4" width="10.28515625" style="317" customWidth="1"/>
    <col min="5" max="5" width="11.140625" style="317" customWidth="1"/>
    <col min="6" max="7" width="12.7109375" style="317" customWidth="1"/>
    <col min="8" max="8" width="9.140625" style="317"/>
    <col min="9" max="9" width="9" style="317" customWidth="1"/>
    <col min="10" max="10" width="13.7109375" style="317" customWidth="1"/>
    <col min="11" max="11" width="11.28515625" style="317" customWidth="1"/>
    <col min="12" max="12" width="8.140625" style="317" customWidth="1"/>
    <col min="13" max="13" width="9.140625" style="317"/>
    <col min="14" max="14" width="10.85546875" style="317" customWidth="1"/>
    <col min="15" max="15" width="1.42578125" style="345" customWidth="1"/>
    <col min="16" max="16" width="9.28515625" style="317" bestFit="1" customWidth="1"/>
    <col min="17" max="18" width="9.85546875" style="317" bestFit="1" customWidth="1"/>
    <col min="19" max="19" width="10.42578125" style="317" customWidth="1"/>
    <col min="20" max="16384" width="9.140625" style="317"/>
  </cols>
  <sheetData>
    <row r="1" spans="1:22" ht="12.75">
      <c r="A1" s="288" t="s">
        <v>286</v>
      </c>
      <c r="B1" s="345" t="s">
        <v>85</v>
      </c>
      <c r="K1" s="319"/>
      <c r="P1" s="330"/>
      <c r="Q1" s="330"/>
      <c r="R1" s="330"/>
      <c r="S1" s="330"/>
      <c r="T1" s="330"/>
      <c r="U1" s="330"/>
      <c r="V1" s="523" t="s">
        <v>304</v>
      </c>
    </row>
    <row r="2" spans="1:22">
      <c r="A2" s="740" t="s">
        <v>67</v>
      </c>
      <c r="B2" s="740"/>
      <c r="C2" s="740"/>
      <c r="D2" s="740"/>
      <c r="E2" s="740"/>
      <c r="F2" s="740"/>
      <c r="G2" s="740"/>
      <c r="H2" s="740"/>
      <c r="I2" s="740"/>
      <c r="J2" s="740"/>
      <c r="K2" s="740"/>
      <c r="L2" s="740"/>
      <c r="M2" s="740"/>
      <c r="N2" s="740"/>
      <c r="P2" s="330"/>
      <c r="Q2" s="330"/>
      <c r="R2" s="332">
        <v>2010</v>
      </c>
      <c r="S2" s="330"/>
      <c r="T2" s="330"/>
      <c r="U2" s="330"/>
    </row>
    <row r="3" spans="1:22" ht="17.25" customHeight="1">
      <c r="A3" s="368" t="s">
        <v>92</v>
      </c>
      <c r="B3" s="369"/>
      <c r="C3" s="369"/>
      <c r="D3" s="369"/>
      <c r="E3" s="369"/>
      <c r="F3" s="369"/>
      <c r="G3" s="346"/>
      <c r="H3" s="346"/>
      <c r="I3" s="346"/>
      <c r="J3" s="331"/>
      <c r="K3" s="331"/>
      <c r="L3" s="331"/>
      <c r="M3" s="331"/>
      <c r="N3" s="331"/>
      <c r="P3" s="330"/>
      <c r="Q3" s="330"/>
      <c r="R3" s="330"/>
      <c r="S3" s="330"/>
      <c r="T3" s="330"/>
      <c r="U3" s="330"/>
    </row>
    <row r="4" spans="1:22" s="269" customFormat="1" ht="27" customHeight="1">
      <c r="A4" s="474" t="s">
        <v>71</v>
      </c>
      <c r="B4" s="466" t="s">
        <v>0</v>
      </c>
      <c r="C4" s="466" t="s">
        <v>1</v>
      </c>
      <c r="D4" s="466" t="s">
        <v>2</v>
      </c>
      <c r="E4" s="466" t="s">
        <v>3</v>
      </c>
      <c r="F4" s="466" t="s">
        <v>4</v>
      </c>
      <c r="G4" s="475" t="s">
        <v>11</v>
      </c>
      <c r="H4" s="466" t="s">
        <v>5</v>
      </c>
      <c r="I4" s="466" t="s">
        <v>6</v>
      </c>
      <c r="J4" s="466" t="s">
        <v>7</v>
      </c>
      <c r="K4" s="475" t="s">
        <v>12</v>
      </c>
      <c r="L4" s="466" t="s">
        <v>8</v>
      </c>
      <c r="M4" s="466" t="s">
        <v>9</v>
      </c>
      <c r="N4" s="467" t="s">
        <v>10</v>
      </c>
      <c r="O4" s="473"/>
      <c r="P4" s="446" t="s">
        <v>86</v>
      </c>
      <c r="Q4" s="446" t="s">
        <v>87</v>
      </c>
      <c r="R4" s="446" t="s">
        <v>88</v>
      </c>
      <c r="S4" s="446" t="s">
        <v>89</v>
      </c>
      <c r="T4" s="446" t="s">
        <v>90</v>
      </c>
      <c r="U4" s="446" t="s">
        <v>91</v>
      </c>
    </row>
    <row r="5" spans="1:22" s="280" customFormat="1">
      <c r="A5" s="347" t="s">
        <v>62</v>
      </c>
      <c r="B5" s="347">
        <v>161</v>
      </c>
      <c r="C5" s="348">
        <v>5</v>
      </c>
      <c r="D5" s="349">
        <f>G5-F5-E5-C5-B5</f>
        <v>42</v>
      </c>
      <c r="E5" s="347">
        <v>978</v>
      </c>
      <c r="F5" s="350">
        <v>1007</v>
      </c>
      <c r="G5" s="351">
        <v>2193</v>
      </c>
      <c r="H5" s="350">
        <v>11885</v>
      </c>
      <c r="I5" s="347">
        <v>167</v>
      </c>
      <c r="J5" s="347">
        <v>286</v>
      </c>
      <c r="K5" s="351">
        <v>12339</v>
      </c>
      <c r="L5" s="347">
        <v>0</v>
      </c>
      <c r="M5" s="347">
        <v>190</v>
      </c>
      <c r="N5" s="371">
        <v>14722</v>
      </c>
      <c r="O5" s="494"/>
      <c r="P5" s="273">
        <f t="shared" ref="P5:P44" si="0">SUM(B5,D5)</f>
        <v>203</v>
      </c>
      <c r="Q5" s="273">
        <f t="shared" ref="Q5:Q44" si="1">SUM(C5,E5,F5)</f>
        <v>1990</v>
      </c>
      <c r="R5" s="273">
        <f>SUM(K5:M5)</f>
        <v>12529</v>
      </c>
      <c r="S5" s="280">
        <f t="shared" ref="S5:S43" si="2">(10*P5)+(3*Q5)+R5</f>
        <v>20529</v>
      </c>
      <c r="T5" s="308">
        <f>S5/($S$44+$S$60)</f>
        <v>1.2237908451246905E-2</v>
      </c>
      <c r="U5" s="273">
        <f t="shared" ref="U5:U43" si="3">SUM(P5:R5)</f>
        <v>14722</v>
      </c>
      <c r="V5" s="273">
        <f t="shared" ref="V5:V43" si="4">N5-U5</f>
        <v>0</v>
      </c>
    </row>
    <row r="6" spans="1:22" s="280" customFormat="1">
      <c r="A6" s="347" t="s">
        <v>84</v>
      </c>
      <c r="B6" s="350">
        <v>1804</v>
      </c>
      <c r="C6" s="348">
        <v>5</v>
      </c>
      <c r="D6" s="347">
        <v>93</v>
      </c>
      <c r="E6" s="350">
        <v>1896</v>
      </c>
      <c r="F6" s="349">
        <f>G6-E6-D6-C6-B6</f>
        <v>882</v>
      </c>
      <c r="G6" s="351">
        <v>4680</v>
      </c>
      <c r="H6" s="350">
        <v>8573</v>
      </c>
      <c r="I6" s="347">
        <v>27</v>
      </c>
      <c r="J6" s="347">
        <v>67</v>
      </c>
      <c r="K6" s="351">
        <v>8667</v>
      </c>
      <c r="L6" s="347">
        <v>51</v>
      </c>
      <c r="M6" s="347">
        <v>126</v>
      </c>
      <c r="N6" s="371">
        <v>13524</v>
      </c>
      <c r="O6" s="494"/>
      <c r="P6" s="273">
        <f t="shared" si="0"/>
        <v>1897</v>
      </c>
      <c r="Q6" s="273">
        <f t="shared" si="1"/>
        <v>2783</v>
      </c>
      <c r="R6" s="273">
        <f t="shared" ref="R6:R43" si="5">SUM(K6:M6)</f>
        <v>8844</v>
      </c>
      <c r="S6" s="280">
        <f t="shared" si="2"/>
        <v>36163</v>
      </c>
      <c r="T6" s="308">
        <f t="shared" ref="T6:T43" si="6">S6/($S$44+$S$60)</f>
        <v>2.155777111999814E-2</v>
      </c>
      <c r="U6" s="273">
        <f t="shared" si="3"/>
        <v>13524</v>
      </c>
      <c r="V6" s="273">
        <f t="shared" si="4"/>
        <v>0</v>
      </c>
    </row>
    <row r="7" spans="1:22" s="280" customFormat="1">
      <c r="A7" s="347" t="s">
        <v>35</v>
      </c>
      <c r="B7" s="347">
        <v>113</v>
      </c>
      <c r="C7" s="352">
        <f>N7-M7-L7-K7-F7-E7-B7</f>
        <v>89</v>
      </c>
      <c r="D7" s="352">
        <f>G7-F7-E7-C7-B7</f>
        <v>0</v>
      </c>
      <c r="E7" s="350">
        <v>1239</v>
      </c>
      <c r="F7" s="347">
        <v>189</v>
      </c>
      <c r="G7" s="351">
        <v>1630</v>
      </c>
      <c r="H7" s="350">
        <v>4072</v>
      </c>
      <c r="I7" s="348">
        <v>5</v>
      </c>
      <c r="J7" s="349">
        <f>K7-I7-H7</f>
        <v>27</v>
      </c>
      <c r="K7" s="351">
        <v>4104</v>
      </c>
      <c r="L7" s="347">
        <v>220</v>
      </c>
      <c r="M7" s="347">
        <v>529</v>
      </c>
      <c r="N7" s="371">
        <v>6483</v>
      </c>
      <c r="O7" s="494"/>
      <c r="P7" s="273">
        <f t="shared" si="0"/>
        <v>113</v>
      </c>
      <c r="Q7" s="273">
        <f t="shared" si="1"/>
        <v>1517</v>
      </c>
      <c r="R7" s="273">
        <f t="shared" si="5"/>
        <v>4853</v>
      </c>
      <c r="S7" s="280">
        <f t="shared" si="2"/>
        <v>10534</v>
      </c>
      <c r="T7" s="308">
        <f t="shared" si="6"/>
        <v>6.2796106788170344E-3</v>
      </c>
      <c r="U7" s="273">
        <f t="shared" si="3"/>
        <v>6483</v>
      </c>
      <c r="V7" s="273">
        <f t="shared" si="4"/>
        <v>0</v>
      </c>
    </row>
    <row r="8" spans="1:22" s="280" customFormat="1">
      <c r="A8" s="347" t="s">
        <v>36</v>
      </c>
      <c r="B8" s="347">
        <v>172</v>
      </c>
      <c r="C8" s="348">
        <v>5</v>
      </c>
      <c r="D8" s="349">
        <f>G8-F8-E8-C8-B8</f>
        <v>33</v>
      </c>
      <c r="E8" s="350">
        <v>2965</v>
      </c>
      <c r="F8" s="350">
        <v>1142</v>
      </c>
      <c r="G8" s="351">
        <v>4317</v>
      </c>
      <c r="H8" s="350">
        <v>7120</v>
      </c>
      <c r="I8" s="347">
        <v>26</v>
      </c>
      <c r="J8" s="347">
        <v>425</v>
      </c>
      <c r="K8" s="351">
        <v>7571</v>
      </c>
      <c r="L8" s="347">
        <v>810</v>
      </c>
      <c r="M8" s="347">
        <v>65</v>
      </c>
      <c r="N8" s="371">
        <v>12763</v>
      </c>
      <c r="O8" s="494"/>
      <c r="P8" s="273">
        <f t="shared" si="0"/>
        <v>205</v>
      </c>
      <c r="Q8" s="273">
        <f t="shared" si="1"/>
        <v>4112</v>
      </c>
      <c r="R8" s="273">
        <f t="shared" si="5"/>
        <v>8446</v>
      </c>
      <c r="S8" s="280">
        <f t="shared" si="2"/>
        <v>22832</v>
      </c>
      <c r="T8" s="308">
        <f t="shared" si="6"/>
        <v>1.3610790869446604E-2</v>
      </c>
      <c r="U8" s="273">
        <f t="shared" si="3"/>
        <v>12763</v>
      </c>
      <c r="V8" s="273">
        <f t="shared" si="4"/>
        <v>0</v>
      </c>
    </row>
    <row r="9" spans="1:22" s="280" customFormat="1">
      <c r="A9" s="311" t="s">
        <v>57</v>
      </c>
      <c r="B9" s="353">
        <f>G9-F9-E9-C9</f>
        <v>169</v>
      </c>
      <c r="C9" s="348">
        <v>5</v>
      </c>
      <c r="D9" s="352">
        <f>G9-F9-E9-C9-B9</f>
        <v>0</v>
      </c>
      <c r="E9" s="347">
        <v>170</v>
      </c>
      <c r="F9" s="347">
        <v>408</v>
      </c>
      <c r="G9" s="354">
        <v>752</v>
      </c>
      <c r="H9" s="350">
        <v>3041</v>
      </c>
      <c r="I9" s="352">
        <f>K9-H9</f>
        <v>97</v>
      </c>
      <c r="J9" s="352">
        <f>K9-I9-H9</f>
        <v>0</v>
      </c>
      <c r="K9" s="351">
        <v>3138</v>
      </c>
      <c r="L9" s="355">
        <v>370</v>
      </c>
      <c r="M9" s="348">
        <v>5</v>
      </c>
      <c r="N9" s="372">
        <f>SUM(G9,K9,L9,M9)</f>
        <v>4265</v>
      </c>
      <c r="O9" s="494"/>
      <c r="P9" s="273">
        <f t="shared" si="0"/>
        <v>169</v>
      </c>
      <c r="Q9" s="273">
        <f t="shared" si="1"/>
        <v>583</v>
      </c>
      <c r="R9" s="273">
        <f t="shared" si="5"/>
        <v>3513</v>
      </c>
      <c r="S9" s="280">
        <f t="shared" si="2"/>
        <v>6952</v>
      </c>
      <c r="T9" s="308">
        <f t="shared" si="6"/>
        <v>4.1442807517691306E-3</v>
      </c>
      <c r="U9" s="273">
        <f t="shared" si="3"/>
        <v>4265</v>
      </c>
      <c r="V9" s="273">
        <f t="shared" si="4"/>
        <v>0</v>
      </c>
    </row>
    <row r="10" spans="1:22" s="280" customFormat="1">
      <c r="A10" s="356" t="s">
        <v>14</v>
      </c>
      <c r="B10" s="347">
        <v>338</v>
      </c>
      <c r="C10" s="347">
        <v>29</v>
      </c>
      <c r="D10" s="347">
        <v>25</v>
      </c>
      <c r="E10" s="350">
        <v>2293</v>
      </c>
      <c r="F10" s="347">
        <v>957</v>
      </c>
      <c r="G10" s="351">
        <v>3641</v>
      </c>
      <c r="H10" s="350">
        <v>14879</v>
      </c>
      <c r="I10" s="350">
        <v>2245</v>
      </c>
      <c r="J10" s="347">
        <v>86</v>
      </c>
      <c r="K10" s="351">
        <v>17210</v>
      </c>
      <c r="L10" s="347">
        <v>275</v>
      </c>
      <c r="M10" s="347">
        <v>198</v>
      </c>
      <c r="N10" s="371">
        <v>21325</v>
      </c>
      <c r="O10" s="494"/>
      <c r="P10" s="273">
        <f t="shared" si="0"/>
        <v>363</v>
      </c>
      <c r="Q10" s="273">
        <f t="shared" si="1"/>
        <v>3279</v>
      </c>
      <c r="R10" s="273">
        <f t="shared" si="5"/>
        <v>17683</v>
      </c>
      <c r="S10" s="280">
        <f t="shared" si="2"/>
        <v>31150</v>
      </c>
      <c r="T10" s="308">
        <f t="shared" si="6"/>
        <v>1.8569382252245168E-2</v>
      </c>
      <c r="U10" s="273">
        <f t="shared" si="3"/>
        <v>21325</v>
      </c>
      <c r="V10" s="273">
        <f t="shared" si="4"/>
        <v>0</v>
      </c>
    </row>
    <row r="11" spans="1:22" s="280" customFormat="1">
      <c r="A11" s="347" t="s">
        <v>44</v>
      </c>
      <c r="B11" s="350">
        <v>1114</v>
      </c>
      <c r="C11" s="347">
        <v>0</v>
      </c>
      <c r="D11" s="347">
        <v>185</v>
      </c>
      <c r="E11" s="350">
        <v>3151</v>
      </c>
      <c r="F11" s="350">
        <v>1081</v>
      </c>
      <c r="G11" s="351">
        <v>5532</v>
      </c>
      <c r="H11" s="350">
        <v>26603</v>
      </c>
      <c r="I11" s="347">
        <v>239</v>
      </c>
      <c r="J11" s="347">
        <v>163</v>
      </c>
      <c r="K11" s="351">
        <v>27005</v>
      </c>
      <c r="L11" s="347">
        <v>374</v>
      </c>
      <c r="M11" s="347">
        <v>255</v>
      </c>
      <c r="N11" s="371">
        <v>33166</v>
      </c>
      <c r="O11" s="494"/>
      <c r="P11" s="273">
        <f t="shared" si="0"/>
        <v>1299</v>
      </c>
      <c r="Q11" s="273">
        <f t="shared" si="1"/>
        <v>4232</v>
      </c>
      <c r="R11" s="273">
        <f t="shared" si="5"/>
        <v>27634</v>
      </c>
      <c r="S11" s="280">
        <f t="shared" si="2"/>
        <v>53320</v>
      </c>
      <c r="T11" s="308">
        <f t="shared" si="6"/>
        <v>3.1785536490841489E-2</v>
      </c>
      <c r="U11" s="273">
        <f t="shared" si="3"/>
        <v>33165</v>
      </c>
      <c r="V11" s="273">
        <f t="shared" si="4"/>
        <v>1</v>
      </c>
    </row>
    <row r="12" spans="1:22" s="280" customFormat="1">
      <c r="A12" s="347" t="s">
        <v>63</v>
      </c>
      <c r="B12" s="349">
        <f>G12-F12-E12-D12-C12</f>
        <v>790</v>
      </c>
      <c r="C12" s="348">
        <v>5</v>
      </c>
      <c r="D12" s="355">
        <v>49</v>
      </c>
      <c r="E12" s="350">
        <v>3842</v>
      </c>
      <c r="F12" s="350">
        <v>1282</v>
      </c>
      <c r="G12" s="351">
        <v>5968</v>
      </c>
      <c r="H12" s="350">
        <v>21275</v>
      </c>
      <c r="I12" s="347">
        <v>55</v>
      </c>
      <c r="J12" s="347">
        <v>67</v>
      </c>
      <c r="K12" s="351">
        <v>21397</v>
      </c>
      <c r="L12" s="347">
        <v>0</v>
      </c>
      <c r="M12" s="347">
        <v>191</v>
      </c>
      <c r="N12" s="371">
        <v>27556</v>
      </c>
      <c r="O12" s="494"/>
      <c r="P12" s="273">
        <f t="shared" si="0"/>
        <v>839</v>
      </c>
      <c r="Q12" s="273">
        <f t="shared" si="1"/>
        <v>5129</v>
      </c>
      <c r="R12" s="273">
        <f t="shared" si="5"/>
        <v>21588</v>
      </c>
      <c r="S12" s="280">
        <f t="shared" si="2"/>
        <v>45365</v>
      </c>
      <c r="T12" s="308">
        <f t="shared" si="6"/>
        <v>2.7043339514385301E-2</v>
      </c>
      <c r="U12" s="273">
        <f t="shared" si="3"/>
        <v>27556</v>
      </c>
      <c r="V12" s="273">
        <f t="shared" si="4"/>
        <v>0</v>
      </c>
    </row>
    <row r="13" spans="1:22" s="280" customFormat="1">
      <c r="A13" s="347" t="s">
        <v>45</v>
      </c>
      <c r="B13" s="347">
        <v>340</v>
      </c>
      <c r="C13" s="347">
        <v>20</v>
      </c>
      <c r="D13" s="347">
        <v>99</v>
      </c>
      <c r="E13" s="350">
        <v>2173</v>
      </c>
      <c r="F13" s="350">
        <v>1121</v>
      </c>
      <c r="G13" s="351">
        <v>3752</v>
      </c>
      <c r="H13" s="350">
        <v>13667</v>
      </c>
      <c r="I13" s="347">
        <v>76</v>
      </c>
      <c r="J13" s="347">
        <v>71</v>
      </c>
      <c r="K13" s="351">
        <v>13814</v>
      </c>
      <c r="L13" s="347">
        <v>632</v>
      </c>
      <c r="M13" s="347">
        <v>10</v>
      </c>
      <c r="N13" s="371">
        <v>18208</v>
      </c>
      <c r="O13" s="494"/>
      <c r="P13" s="273">
        <f t="shared" si="0"/>
        <v>439</v>
      </c>
      <c r="Q13" s="273">
        <f t="shared" si="1"/>
        <v>3314</v>
      </c>
      <c r="R13" s="273">
        <f t="shared" si="5"/>
        <v>14456</v>
      </c>
      <c r="S13" s="280">
        <f t="shared" si="2"/>
        <v>28788</v>
      </c>
      <c r="T13" s="308">
        <f t="shared" si="6"/>
        <v>1.7161328291416821E-2</v>
      </c>
      <c r="U13" s="273">
        <f t="shared" si="3"/>
        <v>18209</v>
      </c>
      <c r="V13" s="273">
        <f t="shared" si="4"/>
        <v>-1</v>
      </c>
    </row>
    <row r="14" spans="1:22" s="280" customFormat="1">
      <c r="A14" s="356" t="s">
        <v>74</v>
      </c>
      <c r="B14" s="352">
        <f>G14-F14-E14-D14-C14</f>
        <v>576</v>
      </c>
      <c r="C14" s="353">
        <v>30</v>
      </c>
      <c r="D14" s="347">
        <v>61</v>
      </c>
      <c r="E14" s="350">
        <v>1690</v>
      </c>
      <c r="F14" s="347">
        <v>785</v>
      </c>
      <c r="G14" s="351">
        <v>3142</v>
      </c>
      <c r="H14" s="350">
        <v>9605</v>
      </c>
      <c r="I14" s="347">
        <v>0</v>
      </c>
      <c r="J14" s="347">
        <v>82</v>
      </c>
      <c r="K14" s="351">
        <v>9687</v>
      </c>
      <c r="L14" s="347">
        <v>0</v>
      </c>
      <c r="M14" s="355">
        <v>37</v>
      </c>
      <c r="N14" s="371">
        <v>12866</v>
      </c>
      <c r="O14" s="494"/>
      <c r="P14" s="273">
        <f t="shared" si="0"/>
        <v>637</v>
      </c>
      <c r="Q14" s="273">
        <f t="shared" si="1"/>
        <v>2505</v>
      </c>
      <c r="R14" s="273">
        <f t="shared" si="5"/>
        <v>9724</v>
      </c>
      <c r="S14" s="280">
        <f t="shared" si="2"/>
        <v>23609</v>
      </c>
      <c r="T14" s="308">
        <f t="shared" si="6"/>
        <v>1.4073982202030696E-2</v>
      </c>
      <c r="U14" s="273">
        <f t="shared" si="3"/>
        <v>12866</v>
      </c>
      <c r="V14" s="273">
        <f t="shared" si="4"/>
        <v>0</v>
      </c>
    </row>
    <row r="15" spans="1:22" s="280" customFormat="1">
      <c r="A15" s="347" t="s">
        <v>37</v>
      </c>
      <c r="B15" s="347">
        <v>988</v>
      </c>
      <c r="C15" s="347">
        <v>53</v>
      </c>
      <c r="D15" s="347">
        <v>82</v>
      </c>
      <c r="E15" s="350">
        <v>3173</v>
      </c>
      <c r="F15" s="350">
        <v>1321</v>
      </c>
      <c r="G15" s="351">
        <v>5616</v>
      </c>
      <c r="H15" s="350">
        <v>25663</v>
      </c>
      <c r="I15" s="347">
        <v>0</v>
      </c>
      <c r="J15" s="347">
        <v>53</v>
      </c>
      <c r="K15" s="351">
        <v>25716</v>
      </c>
      <c r="L15" s="349">
        <f>N15-M15-G15-K15</f>
        <v>10</v>
      </c>
      <c r="M15" s="347">
        <v>560</v>
      </c>
      <c r="N15" s="372">
        <v>31902</v>
      </c>
      <c r="O15" s="494"/>
      <c r="P15" s="273">
        <f t="shared" si="0"/>
        <v>1070</v>
      </c>
      <c r="Q15" s="273">
        <f t="shared" si="1"/>
        <v>4547</v>
      </c>
      <c r="R15" s="273">
        <f t="shared" si="5"/>
        <v>26286</v>
      </c>
      <c r="S15" s="280">
        <f t="shared" si="2"/>
        <v>50627</v>
      </c>
      <c r="T15" s="308">
        <f t="shared" si="6"/>
        <v>3.0180164214587999E-2</v>
      </c>
      <c r="U15" s="273">
        <f t="shared" si="3"/>
        <v>31903</v>
      </c>
      <c r="V15" s="273">
        <f t="shared" si="4"/>
        <v>-1</v>
      </c>
    </row>
    <row r="16" spans="1:22" s="280" customFormat="1">
      <c r="A16" s="356" t="s">
        <v>38</v>
      </c>
      <c r="B16" s="347">
        <v>485</v>
      </c>
      <c r="C16" s="347">
        <v>35</v>
      </c>
      <c r="D16" s="347">
        <v>74</v>
      </c>
      <c r="E16" s="350">
        <v>1713</v>
      </c>
      <c r="F16" s="347">
        <v>362</v>
      </c>
      <c r="G16" s="351">
        <v>2669</v>
      </c>
      <c r="H16" s="350">
        <v>10308</v>
      </c>
      <c r="I16" s="347">
        <v>0</v>
      </c>
      <c r="J16" s="347">
        <v>363</v>
      </c>
      <c r="K16" s="351">
        <v>10672</v>
      </c>
      <c r="L16" s="352">
        <f>N16-K16-G16</f>
        <v>404</v>
      </c>
      <c r="M16" s="353" t="s">
        <v>69</v>
      </c>
      <c r="N16" s="371">
        <v>13745</v>
      </c>
      <c r="O16" s="494"/>
      <c r="P16" s="273">
        <f t="shared" si="0"/>
        <v>559</v>
      </c>
      <c r="Q16" s="273">
        <f t="shared" si="1"/>
        <v>2110</v>
      </c>
      <c r="R16" s="273">
        <f t="shared" si="5"/>
        <v>11076</v>
      </c>
      <c r="S16" s="280">
        <f t="shared" si="2"/>
        <v>22996</v>
      </c>
      <c r="T16" s="308">
        <f t="shared" si="6"/>
        <v>1.3708555835397429E-2</v>
      </c>
      <c r="U16" s="273">
        <f t="shared" si="3"/>
        <v>13745</v>
      </c>
      <c r="V16" s="273">
        <f t="shared" si="4"/>
        <v>0</v>
      </c>
    </row>
    <row r="17" spans="1:22" s="280" customFormat="1">
      <c r="A17" s="347" t="s">
        <v>26</v>
      </c>
      <c r="B17" s="347">
        <v>927</v>
      </c>
      <c r="C17" s="347">
        <v>15</v>
      </c>
      <c r="D17" s="347">
        <v>130</v>
      </c>
      <c r="E17" s="350">
        <v>2801</v>
      </c>
      <c r="F17" s="350">
        <v>1372</v>
      </c>
      <c r="G17" s="351">
        <v>5246</v>
      </c>
      <c r="H17" s="350">
        <v>19674</v>
      </c>
      <c r="I17" s="347">
        <v>0</v>
      </c>
      <c r="J17" s="347">
        <v>128</v>
      </c>
      <c r="K17" s="351">
        <v>19802</v>
      </c>
      <c r="L17" s="347">
        <v>10</v>
      </c>
      <c r="M17" s="347">
        <v>76</v>
      </c>
      <c r="N17" s="371">
        <v>25135</v>
      </c>
      <c r="O17" s="494"/>
      <c r="P17" s="273">
        <f t="shared" si="0"/>
        <v>1057</v>
      </c>
      <c r="Q17" s="273">
        <f t="shared" si="1"/>
        <v>4188</v>
      </c>
      <c r="R17" s="273">
        <f t="shared" si="5"/>
        <v>19888</v>
      </c>
      <c r="S17" s="280">
        <f t="shared" si="2"/>
        <v>43022</v>
      </c>
      <c r="T17" s="308">
        <f t="shared" si="6"/>
        <v>2.564661198253906E-2</v>
      </c>
      <c r="U17" s="273">
        <f t="shared" si="3"/>
        <v>25133</v>
      </c>
      <c r="V17" s="273">
        <f t="shared" si="4"/>
        <v>2</v>
      </c>
    </row>
    <row r="18" spans="1:22" s="280" customFormat="1">
      <c r="A18" s="347" t="s">
        <v>15</v>
      </c>
      <c r="B18" s="350">
        <v>1229</v>
      </c>
      <c r="C18" s="347">
        <v>0</v>
      </c>
      <c r="D18" s="347">
        <v>61</v>
      </c>
      <c r="E18" s="350">
        <v>4033</v>
      </c>
      <c r="F18" s="347">
        <v>910</v>
      </c>
      <c r="G18" s="351">
        <v>6234</v>
      </c>
      <c r="H18" s="350">
        <v>19745</v>
      </c>
      <c r="I18" s="347">
        <v>0</v>
      </c>
      <c r="J18" s="347">
        <v>99</v>
      </c>
      <c r="K18" s="351">
        <v>19844</v>
      </c>
      <c r="L18" s="347">
        <v>86</v>
      </c>
      <c r="M18" s="347">
        <v>498</v>
      </c>
      <c r="N18" s="371">
        <v>26661</v>
      </c>
      <c r="O18" s="494"/>
      <c r="P18" s="273">
        <f t="shared" si="0"/>
        <v>1290</v>
      </c>
      <c r="Q18" s="273">
        <f t="shared" si="1"/>
        <v>4943</v>
      </c>
      <c r="R18" s="273">
        <f t="shared" si="5"/>
        <v>20428</v>
      </c>
      <c r="S18" s="280">
        <f t="shared" si="2"/>
        <v>48157</v>
      </c>
      <c r="T18" s="308">
        <f t="shared" si="6"/>
        <v>2.8707728446913983E-2</v>
      </c>
      <c r="U18" s="273">
        <f t="shared" si="3"/>
        <v>26661</v>
      </c>
      <c r="V18" s="273">
        <f t="shared" si="4"/>
        <v>0</v>
      </c>
    </row>
    <row r="19" spans="1:22" s="280" customFormat="1">
      <c r="A19" s="347" t="s">
        <v>28</v>
      </c>
      <c r="B19" s="350">
        <v>2368</v>
      </c>
      <c r="C19" s="347">
        <v>0</v>
      </c>
      <c r="D19" s="347">
        <v>500</v>
      </c>
      <c r="E19" s="350">
        <v>5482</v>
      </c>
      <c r="F19" s="350">
        <v>1599</v>
      </c>
      <c r="G19" s="351">
        <v>9949</v>
      </c>
      <c r="H19" s="350">
        <v>37875</v>
      </c>
      <c r="I19" s="347">
        <v>29</v>
      </c>
      <c r="J19" s="347">
        <v>384</v>
      </c>
      <c r="K19" s="351">
        <v>38288</v>
      </c>
      <c r="L19" s="347">
        <v>0</v>
      </c>
      <c r="M19" s="347">
        <v>316</v>
      </c>
      <c r="N19" s="371">
        <v>48553</v>
      </c>
      <c r="O19" s="494"/>
      <c r="P19" s="273">
        <f t="shared" si="0"/>
        <v>2868</v>
      </c>
      <c r="Q19" s="273">
        <f t="shared" si="1"/>
        <v>7081</v>
      </c>
      <c r="R19" s="273">
        <f t="shared" si="5"/>
        <v>38604</v>
      </c>
      <c r="S19" s="280">
        <f t="shared" si="2"/>
        <v>88527</v>
      </c>
      <c r="T19" s="308">
        <f t="shared" si="6"/>
        <v>5.2773409394687262E-2</v>
      </c>
      <c r="U19" s="273">
        <f t="shared" si="3"/>
        <v>48553</v>
      </c>
      <c r="V19" s="273">
        <f t="shared" si="4"/>
        <v>0</v>
      </c>
    </row>
    <row r="20" spans="1:22" s="280" customFormat="1">
      <c r="A20" s="347" t="s">
        <v>46</v>
      </c>
      <c r="B20" s="347">
        <v>567</v>
      </c>
      <c r="C20" s="347">
        <v>14</v>
      </c>
      <c r="D20" s="347">
        <v>79</v>
      </c>
      <c r="E20" s="347">
        <v>651</v>
      </c>
      <c r="F20" s="347">
        <v>609</v>
      </c>
      <c r="G20" s="351">
        <v>1919</v>
      </c>
      <c r="H20" s="350">
        <v>10486</v>
      </c>
      <c r="I20" s="347">
        <v>0</v>
      </c>
      <c r="J20" s="347">
        <v>21</v>
      </c>
      <c r="K20" s="351">
        <v>10507</v>
      </c>
      <c r="L20" s="347">
        <v>155</v>
      </c>
      <c r="M20" s="347">
        <v>90</v>
      </c>
      <c r="N20" s="371">
        <v>12671</v>
      </c>
      <c r="O20" s="494"/>
      <c r="P20" s="273">
        <f t="shared" si="0"/>
        <v>646</v>
      </c>
      <c r="Q20" s="273">
        <f t="shared" si="1"/>
        <v>1274</v>
      </c>
      <c r="R20" s="273">
        <f t="shared" si="5"/>
        <v>10752</v>
      </c>
      <c r="S20" s="280">
        <f t="shared" si="2"/>
        <v>21034</v>
      </c>
      <c r="T20" s="308">
        <f t="shared" si="6"/>
        <v>1.2538953011034507E-2</v>
      </c>
      <c r="U20" s="273">
        <f t="shared" si="3"/>
        <v>12672</v>
      </c>
      <c r="V20" s="273">
        <f t="shared" si="4"/>
        <v>-1</v>
      </c>
    </row>
    <row r="21" spans="1:22" s="280" customFormat="1">
      <c r="A21" s="347" t="s">
        <v>39</v>
      </c>
      <c r="B21" s="350">
        <v>1071</v>
      </c>
      <c r="C21" s="347">
        <v>20</v>
      </c>
      <c r="D21" s="347">
        <v>277</v>
      </c>
      <c r="E21" s="350">
        <v>2691</v>
      </c>
      <c r="F21" s="350">
        <v>1265</v>
      </c>
      <c r="G21" s="351">
        <v>5323</v>
      </c>
      <c r="H21" s="350">
        <v>25150</v>
      </c>
      <c r="I21" s="347">
        <v>0</v>
      </c>
      <c r="J21" s="347">
        <v>499</v>
      </c>
      <c r="K21" s="351">
        <v>25649</v>
      </c>
      <c r="L21" s="347">
        <v>0</v>
      </c>
      <c r="M21" s="347">
        <v>199</v>
      </c>
      <c r="N21" s="371">
        <v>31172</v>
      </c>
      <c r="O21" s="494"/>
      <c r="P21" s="273">
        <f t="shared" si="0"/>
        <v>1348</v>
      </c>
      <c r="Q21" s="273">
        <f t="shared" si="1"/>
        <v>3976</v>
      </c>
      <c r="R21" s="273">
        <f t="shared" si="5"/>
        <v>25848</v>
      </c>
      <c r="S21" s="280">
        <f t="shared" si="2"/>
        <v>51256</v>
      </c>
      <c r="T21" s="308">
        <f t="shared" si="6"/>
        <v>3.0555128626679886E-2</v>
      </c>
      <c r="U21" s="273">
        <f t="shared" si="3"/>
        <v>31172</v>
      </c>
      <c r="V21" s="273">
        <f t="shared" si="4"/>
        <v>0</v>
      </c>
    </row>
    <row r="22" spans="1:22" s="280" customFormat="1">
      <c r="A22" s="347" t="s">
        <v>29</v>
      </c>
      <c r="B22" s="350">
        <v>1004</v>
      </c>
      <c r="C22" s="348">
        <v>5</v>
      </c>
      <c r="D22" s="349">
        <f>G22-F22-E22-C22-B22</f>
        <v>177</v>
      </c>
      <c r="E22" s="350">
        <v>4988</v>
      </c>
      <c r="F22" s="350">
        <v>1087</v>
      </c>
      <c r="G22" s="351">
        <v>7261</v>
      </c>
      <c r="H22" s="350">
        <v>30017</v>
      </c>
      <c r="I22" s="347">
        <v>478</v>
      </c>
      <c r="J22" s="350">
        <v>1136</v>
      </c>
      <c r="K22" s="351">
        <v>31631</v>
      </c>
      <c r="L22" s="347">
        <v>0</v>
      </c>
      <c r="M22" s="347">
        <v>93</v>
      </c>
      <c r="N22" s="371">
        <v>38985</v>
      </c>
      <c r="O22" s="494"/>
      <c r="P22" s="273">
        <f t="shared" si="0"/>
        <v>1181</v>
      </c>
      <c r="Q22" s="273">
        <f t="shared" si="1"/>
        <v>6080</v>
      </c>
      <c r="R22" s="273">
        <f t="shared" si="5"/>
        <v>31724</v>
      </c>
      <c r="S22" s="280">
        <f t="shared" si="2"/>
        <v>61774</v>
      </c>
      <c r="T22" s="308">
        <f t="shared" si="6"/>
        <v>3.6825201260038298E-2</v>
      </c>
      <c r="U22" s="273">
        <f t="shared" si="3"/>
        <v>38985</v>
      </c>
      <c r="V22" s="273">
        <f t="shared" si="4"/>
        <v>0</v>
      </c>
    </row>
    <row r="23" spans="1:22" s="280" customFormat="1">
      <c r="A23" s="356" t="s">
        <v>16</v>
      </c>
      <c r="B23" s="347">
        <v>259</v>
      </c>
      <c r="C23" s="347">
        <v>0</v>
      </c>
      <c r="D23" s="347">
        <v>16</v>
      </c>
      <c r="E23" s="347">
        <v>731</v>
      </c>
      <c r="F23" s="347">
        <v>139</v>
      </c>
      <c r="G23" s="351">
        <v>1145</v>
      </c>
      <c r="H23" s="350">
        <v>8116</v>
      </c>
      <c r="I23" s="347">
        <v>207</v>
      </c>
      <c r="J23" s="347">
        <v>124</v>
      </c>
      <c r="K23" s="351">
        <v>8447</v>
      </c>
      <c r="L23" s="347">
        <v>345</v>
      </c>
      <c r="M23" s="347">
        <v>12</v>
      </c>
      <c r="N23" s="371">
        <v>9950</v>
      </c>
      <c r="O23" s="494"/>
      <c r="P23" s="273">
        <f t="shared" si="0"/>
        <v>275</v>
      </c>
      <c r="Q23" s="273">
        <f t="shared" si="1"/>
        <v>870</v>
      </c>
      <c r="R23" s="273">
        <f t="shared" si="5"/>
        <v>8804</v>
      </c>
      <c r="S23" s="280">
        <f t="shared" si="2"/>
        <v>14164</v>
      </c>
      <c r="T23" s="308">
        <f t="shared" si="6"/>
        <v>8.4435547422407886E-3</v>
      </c>
      <c r="U23" s="273">
        <f t="shared" si="3"/>
        <v>9949</v>
      </c>
      <c r="V23" s="273">
        <f t="shared" si="4"/>
        <v>1</v>
      </c>
    </row>
    <row r="24" spans="1:22" s="280" customFormat="1">
      <c r="A24" s="347" t="s">
        <v>30</v>
      </c>
      <c r="B24" s="347">
        <v>602</v>
      </c>
      <c r="C24" s="347">
        <v>0</v>
      </c>
      <c r="D24" s="347">
        <v>47</v>
      </c>
      <c r="E24" s="350">
        <v>2237</v>
      </c>
      <c r="F24" s="347">
        <v>790</v>
      </c>
      <c r="G24" s="351">
        <v>3676</v>
      </c>
      <c r="H24" s="350">
        <v>13247</v>
      </c>
      <c r="I24" s="349">
        <f>K24-J24-H24</f>
        <v>49</v>
      </c>
      <c r="J24" s="348">
        <v>5</v>
      </c>
      <c r="K24" s="351">
        <v>13301</v>
      </c>
      <c r="L24" s="347">
        <v>0</v>
      </c>
      <c r="M24" s="347">
        <v>102</v>
      </c>
      <c r="N24" s="371">
        <v>17079</v>
      </c>
      <c r="O24" s="494"/>
      <c r="P24" s="273">
        <f t="shared" si="0"/>
        <v>649</v>
      </c>
      <c r="Q24" s="273">
        <f t="shared" si="1"/>
        <v>3027</v>
      </c>
      <c r="R24" s="273">
        <f t="shared" si="5"/>
        <v>13403</v>
      </c>
      <c r="S24" s="280">
        <f t="shared" si="2"/>
        <v>28974</v>
      </c>
      <c r="T24" s="308">
        <f t="shared" si="6"/>
        <v>1.7272208069873243E-2</v>
      </c>
      <c r="U24" s="273">
        <f t="shared" si="3"/>
        <v>17079</v>
      </c>
      <c r="V24" s="273">
        <f t="shared" si="4"/>
        <v>0</v>
      </c>
    </row>
    <row r="25" spans="1:22" s="280" customFormat="1">
      <c r="A25" s="347" t="s">
        <v>75</v>
      </c>
      <c r="B25" s="350">
        <v>1255</v>
      </c>
      <c r="C25" s="347">
        <v>0</v>
      </c>
      <c r="D25" s="347">
        <v>145</v>
      </c>
      <c r="E25" s="350">
        <v>2137</v>
      </c>
      <c r="F25" s="347">
        <v>663</v>
      </c>
      <c r="G25" s="351">
        <v>4200</v>
      </c>
      <c r="H25" s="350">
        <v>14157</v>
      </c>
      <c r="I25" s="347">
        <v>0</v>
      </c>
      <c r="J25" s="347">
        <v>139</v>
      </c>
      <c r="K25" s="351">
        <v>14296</v>
      </c>
      <c r="L25" s="347">
        <v>41</v>
      </c>
      <c r="M25" s="347">
        <v>345</v>
      </c>
      <c r="N25" s="371">
        <v>18882</v>
      </c>
      <c r="O25" s="494"/>
      <c r="P25" s="273">
        <f t="shared" si="0"/>
        <v>1400</v>
      </c>
      <c r="Q25" s="273">
        <f t="shared" si="1"/>
        <v>2800</v>
      </c>
      <c r="R25" s="273">
        <f t="shared" si="5"/>
        <v>14682</v>
      </c>
      <c r="S25" s="280">
        <f t="shared" si="2"/>
        <v>37082</v>
      </c>
      <c r="T25" s="308">
        <f t="shared" si="6"/>
        <v>2.2105612606027461E-2</v>
      </c>
      <c r="U25" s="273">
        <f t="shared" si="3"/>
        <v>18882</v>
      </c>
      <c r="V25" s="273">
        <f t="shared" si="4"/>
        <v>0</v>
      </c>
    </row>
    <row r="26" spans="1:22" s="280" customFormat="1">
      <c r="A26" s="347" t="s">
        <v>32</v>
      </c>
      <c r="B26" s="347">
        <v>107</v>
      </c>
      <c r="C26" s="347">
        <v>0</v>
      </c>
      <c r="D26" s="347">
        <v>25</v>
      </c>
      <c r="E26" s="350">
        <v>2285</v>
      </c>
      <c r="F26" s="347">
        <v>573</v>
      </c>
      <c r="G26" s="351">
        <v>2990</v>
      </c>
      <c r="H26" s="350">
        <v>5371</v>
      </c>
      <c r="I26" s="349">
        <f>K26-J26-H26</f>
        <v>42</v>
      </c>
      <c r="J26" s="348">
        <v>5</v>
      </c>
      <c r="K26" s="351">
        <v>5418</v>
      </c>
      <c r="L26" s="347">
        <v>52</v>
      </c>
      <c r="M26" s="347">
        <v>158</v>
      </c>
      <c r="N26" s="371">
        <v>8618</v>
      </c>
      <c r="O26" s="494"/>
      <c r="P26" s="273">
        <f t="shared" si="0"/>
        <v>132</v>
      </c>
      <c r="Q26" s="273">
        <f t="shared" si="1"/>
        <v>2858</v>
      </c>
      <c r="R26" s="273">
        <f t="shared" si="5"/>
        <v>5628</v>
      </c>
      <c r="S26" s="280">
        <f t="shared" si="2"/>
        <v>15522</v>
      </c>
      <c r="T26" s="308">
        <f t="shared" si="6"/>
        <v>9.2530963505409163E-3</v>
      </c>
      <c r="U26" s="273">
        <f t="shared" si="3"/>
        <v>8618</v>
      </c>
      <c r="V26" s="273">
        <f t="shared" si="4"/>
        <v>0</v>
      </c>
    </row>
    <row r="27" spans="1:22" s="280" customFormat="1">
      <c r="A27" s="347" t="s">
        <v>60</v>
      </c>
      <c r="B27" s="347">
        <v>228</v>
      </c>
      <c r="C27" s="348">
        <v>5</v>
      </c>
      <c r="D27" s="347">
        <v>29</v>
      </c>
      <c r="E27" s="350">
        <v>1299</v>
      </c>
      <c r="F27" s="349">
        <f>G27-E27-D27-C27-B27</f>
        <v>427</v>
      </c>
      <c r="G27" s="351">
        <v>1988</v>
      </c>
      <c r="H27" s="350">
        <v>7213</v>
      </c>
      <c r="I27" s="348">
        <v>5</v>
      </c>
      <c r="J27" s="355">
        <v>431</v>
      </c>
      <c r="K27" s="357">
        <f>SUM(H27:J27)</f>
        <v>7649</v>
      </c>
      <c r="L27" s="347">
        <v>168</v>
      </c>
      <c r="M27" s="349">
        <f>N27-L27-K27-G27</f>
        <v>50</v>
      </c>
      <c r="N27" s="371">
        <v>9855</v>
      </c>
      <c r="O27" s="494"/>
      <c r="P27" s="273">
        <f t="shared" si="0"/>
        <v>257</v>
      </c>
      <c r="Q27" s="273">
        <f t="shared" si="1"/>
        <v>1731</v>
      </c>
      <c r="R27" s="273">
        <f t="shared" si="5"/>
        <v>7867</v>
      </c>
      <c r="S27" s="280">
        <f t="shared" si="2"/>
        <v>15630</v>
      </c>
      <c r="T27" s="308">
        <f t="shared" si="6"/>
        <v>9.3174781573865818E-3</v>
      </c>
      <c r="U27" s="273">
        <f t="shared" si="3"/>
        <v>9855</v>
      </c>
      <c r="V27" s="273">
        <f t="shared" si="4"/>
        <v>0</v>
      </c>
    </row>
    <row r="28" spans="1:22" s="280" customFormat="1">
      <c r="A28" s="347" t="s">
        <v>76</v>
      </c>
      <c r="B28" s="350">
        <v>2727</v>
      </c>
      <c r="C28" s="347">
        <v>58</v>
      </c>
      <c r="D28" s="347">
        <v>493</v>
      </c>
      <c r="E28" s="350">
        <v>6855</v>
      </c>
      <c r="F28" s="350">
        <v>1394</v>
      </c>
      <c r="G28" s="351">
        <v>11529</v>
      </c>
      <c r="H28" s="350">
        <v>24414</v>
      </c>
      <c r="I28" s="347">
        <v>54</v>
      </c>
      <c r="J28" s="347">
        <v>266</v>
      </c>
      <c r="K28" s="351">
        <v>24734</v>
      </c>
      <c r="L28" s="347">
        <v>43</v>
      </c>
      <c r="M28" s="347">
        <v>333</v>
      </c>
      <c r="N28" s="371">
        <v>36639</v>
      </c>
      <c r="O28" s="494"/>
      <c r="P28" s="273">
        <f t="shared" si="0"/>
        <v>3220</v>
      </c>
      <c r="Q28" s="273">
        <f t="shared" si="1"/>
        <v>8307</v>
      </c>
      <c r="R28" s="273">
        <f t="shared" si="5"/>
        <v>25110</v>
      </c>
      <c r="S28" s="280">
        <f t="shared" si="2"/>
        <v>82231</v>
      </c>
      <c r="T28" s="308">
        <f t="shared" si="6"/>
        <v>4.9020188506721428E-2</v>
      </c>
      <c r="U28" s="273">
        <f t="shared" si="3"/>
        <v>36637</v>
      </c>
      <c r="V28" s="273">
        <f t="shared" si="4"/>
        <v>2</v>
      </c>
    </row>
    <row r="29" spans="1:22" s="280" customFormat="1">
      <c r="A29" s="347" t="s">
        <v>77</v>
      </c>
      <c r="B29" s="347">
        <v>339</v>
      </c>
      <c r="C29" s="348">
        <v>5</v>
      </c>
      <c r="D29" s="349">
        <f>G29-F29-E29-C29-B29</f>
        <v>65</v>
      </c>
      <c r="E29" s="350">
        <v>1138</v>
      </c>
      <c r="F29" s="347">
        <v>875</v>
      </c>
      <c r="G29" s="351">
        <v>2422</v>
      </c>
      <c r="H29" s="350">
        <v>6503</v>
      </c>
      <c r="I29" s="347">
        <v>0</v>
      </c>
      <c r="J29" s="347">
        <v>200</v>
      </c>
      <c r="K29" s="351">
        <v>6703</v>
      </c>
      <c r="L29" s="352">
        <f>N29-K29-G29</f>
        <v>201</v>
      </c>
      <c r="M29" s="352">
        <f>N29-L29-K29-G29</f>
        <v>0</v>
      </c>
      <c r="N29" s="371">
        <v>9326</v>
      </c>
      <c r="O29" s="494"/>
      <c r="P29" s="273">
        <f t="shared" si="0"/>
        <v>404</v>
      </c>
      <c r="Q29" s="273">
        <f t="shared" si="1"/>
        <v>2018</v>
      </c>
      <c r="R29" s="273">
        <f t="shared" si="5"/>
        <v>6904</v>
      </c>
      <c r="S29" s="280">
        <f t="shared" si="2"/>
        <v>16998</v>
      </c>
      <c r="T29" s="308">
        <f t="shared" si="6"/>
        <v>1.0132981044098344E-2</v>
      </c>
      <c r="U29" s="273">
        <f t="shared" si="3"/>
        <v>9326</v>
      </c>
      <c r="V29" s="273">
        <f t="shared" si="4"/>
        <v>0</v>
      </c>
    </row>
    <row r="30" spans="1:22" s="280" customFormat="1">
      <c r="A30" s="347" t="s">
        <v>78</v>
      </c>
      <c r="B30" s="350">
        <v>2420</v>
      </c>
      <c r="C30" s="348">
        <v>5</v>
      </c>
      <c r="D30" s="349">
        <f>G30-F30-E30-C30-B30</f>
        <v>402</v>
      </c>
      <c r="E30" s="350">
        <v>6108</v>
      </c>
      <c r="F30" s="347">
        <v>961</v>
      </c>
      <c r="G30" s="351">
        <v>9896</v>
      </c>
      <c r="H30" s="350">
        <v>26023</v>
      </c>
      <c r="I30" s="347">
        <v>0</v>
      </c>
      <c r="J30" s="347">
        <v>131</v>
      </c>
      <c r="K30" s="351">
        <v>26154</v>
      </c>
      <c r="L30" s="347">
        <v>29</v>
      </c>
      <c r="M30" s="347">
        <v>586</v>
      </c>
      <c r="N30" s="371">
        <v>36665</v>
      </c>
      <c r="O30" s="494"/>
      <c r="P30" s="273">
        <f t="shared" si="0"/>
        <v>2822</v>
      </c>
      <c r="Q30" s="273">
        <f t="shared" si="1"/>
        <v>7074</v>
      </c>
      <c r="R30" s="273">
        <f t="shared" si="5"/>
        <v>26769</v>
      </c>
      <c r="S30" s="280">
        <f t="shared" si="2"/>
        <v>76211</v>
      </c>
      <c r="T30" s="308">
        <f t="shared" si="6"/>
        <v>4.5431498902916742E-2</v>
      </c>
      <c r="U30" s="273">
        <f t="shared" si="3"/>
        <v>36665</v>
      </c>
      <c r="V30" s="273">
        <f t="shared" si="4"/>
        <v>0</v>
      </c>
    </row>
    <row r="31" spans="1:22" s="280" customFormat="1">
      <c r="A31" s="356" t="s">
        <v>79</v>
      </c>
      <c r="B31" s="347">
        <v>711</v>
      </c>
      <c r="C31" s="347">
        <v>161</v>
      </c>
      <c r="D31" s="347">
        <v>183</v>
      </c>
      <c r="E31" s="350">
        <v>2301</v>
      </c>
      <c r="F31" s="347">
        <v>380</v>
      </c>
      <c r="G31" s="351">
        <v>3735</v>
      </c>
      <c r="H31" s="350">
        <v>17939</v>
      </c>
      <c r="I31" s="347">
        <v>0</v>
      </c>
      <c r="J31" s="347">
        <v>37</v>
      </c>
      <c r="K31" s="351">
        <v>17976</v>
      </c>
      <c r="L31" s="350">
        <v>1522</v>
      </c>
      <c r="M31" s="347">
        <v>184</v>
      </c>
      <c r="N31" s="371">
        <v>23417</v>
      </c>
      <c r="O31" s="494"/>
      <c r="P31" s="273">
        <f t="shared" si="0"/>
        <v>894</v>
      </c>
      <c r="Q31" s="273">
        <f t="shared" si="1"/>
        <v>2842</v>
      </c>
      <c r="R31" s="273">
        <f t="shared" si="5"/>
        <v>19682</v>
      </c>
      <c r="S31" s="280">
        <f t="shared" si="2"/>
        <v>37148</v>
      </c>
      <c r="T31" s="308">
        <f t="shared" si="6"/>
        <v>2.2144957043544255E-2</v>
      </c>
      <c r="U31" s="273">
        <f t="shared" si="3"/>
        <v>23418</v>
      </c>
      <c r="V31" s="273">
        <f t="shared" si="4"/>
        <v>-1</v>
      </c>
    </row>
    <row r="32" spans="1:22" s="496" customFormat="1">
      <c r="A32" s="347" t="s">
        <v>80</v>
      </c>
      <c r="B32" s="347">
        <v>38</v>
      </c>
      <c r="C32" s="347">
        <v>0</v>
      </c>
      <c r="D32" s="347">
        <v>14</v>
      </c>
      <c r="E32" s="347">
        <v>163</v>
      </c>
      <c r="F32" s="347">
        <v>153</v>
      </c>
      <c r="G32" s="354">
        <v>368</v>
      </c>
      <c r="H32" s="350">
        <v>6259</v>
      </c>
      <c r="I32" s="347">
        <v>0</v>
      </c>
      <c r="J32" s="348">
        <v>5</v>
      </c>
      <c r="K32" s="357">
        <f>SUM(H32:J32)</f>
        <v>6264</v>
      </c>
      <c r="L32" s="347">
        <v>270</v>
      </c>
      <c r="M32" s="349">
        <f>N32-L32-K32-G32</f>
        <v>161</v>
      </c>
      <c r="N32" s="371">
        <v>7063</v>
      </c>
      <c r="O32" s="495"/>
      <c r="P32" s="273">
        <f t="shared" si="0"/>
        <v>52</v>
      </c>
      <c r="Q32" s="273">
        <f t="shared" si="1"/>
        <v>316</v>
      </c>
      <c r="R32" s="273">
        <f t="shared" si="5"/>
        <v>6695</v>
      </c>
      <c r="S32" s="280">
        <f t="shared" si="2"/>
        <v>8163</v>
      </c>
      <c r="T32" s="308">
        <f t="shared" si="6"/>
        <v>4.8661915674182129E-3</v>
      </c>
      <c r="U32" s="273">
        <f t="shared" si="3"/>
        <v>7063</v>
      </c>
      <c r="V32" s="273">
        <f t="shared" si="4"/>
        <v>0</v>
      </c>
    </row>
    <row r="33" spans="1:22" s="280" customFormat="1">
      <c r="A33" s="347" t="s">
        <v>81</v>
      </c>
      <c r="B33" s="350">
        <v>2683</v>
      </c>
      <c r="C33" s="347">
        <v>80</v>
      </c>
      <c r="D33" s="347">
        <v>293</v>
      </c>
      <c r="E33" s="350">
        <v>4070</v>
      </c>
      <c r="F33" s="347">
        <v>810</v>
      </c>
      <c r="G33" s="351">
        <v>7936</v>
      </c>
      <c r="H33" s="350">
        <v>26489</v>
      </c>
      <c r="I33" s="347">
        <v>93</v>
      </c>
      <c r="J33" s="347">
        <v>123</v>
      </c>
      <c r="K33" s="351">
        <v>26705</v>
      </c>
      <c r="L33" s="347">
        <v>0</v>
      </c>
      <c r="M33" s="347">
        <v>291</v>
      </c>
      <c r="N33" s="371">
        <v>34932</v>
      </c>
      <c r="O33" s="494"/>
      <c r="P33" s="273">
        <f t="shared" si="0"/>
        <v>2976</v>
      </c>
      <c r="Q33" s="273">
        <f t="shared" si="1"/>
        <v>4960</v>
      </c>
      <c r="R33" s="273">
        <f t="shared" si="5"/>
        <v>26996</v>
      </c>
      <c r="S33" s="280">
        <f t="shared" si="2"/>
        <v>71636</v>
      </c>
      <c r="T33" s="308">
        <f t="shared" si="6"/>
        <v>4.2704214029593415E-2</v>
      </c>
      <c r="U33" s="273">
        <f t="shared" si="3"/>
        <v>34932</v>
      </c>
      <c r="V33" s="273">
        <f t="shared" si="4"/>
        <v>0</v>
      </c>
    </row>
    <row r="34" spans="1:22" s="280" customFormat="1">
      <c r="A34" s="347" t="s">
        <v>52</v>
      </c>
      <c r="B34" s="347">
        <v>779</v>
      </c>
      <c r="C34" s="347">
        <v>74</v>
      </c>
      <c r="D34" s="347">
        <v>53</v>
      </c>
      <c r="E34" s="350">
        <v>2749</v>
      </c>
      <c r="F34" s="347">
        <v>874</v>
      </c>
      <c r="G34" s="351">
        <v>4529</v>
      </c>
      <c r="H34" s="350">
        <v>19984</v>
      </c>
      <c r="I34" s="347">
        <v>125</v>
      </c>
      <c r="J34" s="347">
        <v>71</v>
      </c>
      <c r="K34" s="351">
        <v>20180</v>
      </c>
      <c r="L34" s="347">
        <v>245</v>
      </c>
      <c r="M34" s="352">
        <f>N34-L34-K34-G34</f>
        <v>154</v>
      </c>
      <c r="N34" s="358">
        <v>25108</v>
      </c>
      <c r="O34" s="494"/>
      <c r="P34" s="273">
        <f t="shared" si="0"/>
        <v>832</v>
      </c>
      <c r="Q34" s="273">
        <f t="shared" si="1"/>
        <v>3697</v>
      </c>
      <c r="R34" s="273">
        <f t="shared" si="5"/>
        <v>20579</v>
      </c>
      <c r="S34" s="280">
        <f t="shared" si="2"/>
        <v>39990</v>
      </c>
      <c r="T34" s="308">
        <f t="shared" si="6"/>
        <v>2.3839152368131118E-2</v>
      </c>
      <c r="U34" s="273">
        <f t="shared" si="3"/>
        <v>25108</v>
      </c>
      <c r="V34" s="273">
        <f t="shared" si="4"/>
        <v>0</v>
      </c>
    </row>
    <row r="35" spans="1:22" s="280" customFormat="1">
      <c r="A35" s="347" t="s">
        <v>41</v>
      </c>
      <c r="B35" s="347">
        <v>254</v>
      </c>
      <c r="C35" s="347">
        <v>26</v>
      </c>
      <c r="D35" s="347">
        <v>27</v>
      </c>
      <c r="E35" s="350">
        <v>1939</v>
      </c>
      <c r="F35" s="347">
        <v>774</v>
      </c>
      <c r="G35" s="351">
        <v>3020</v>
      </c>
      <c r="H35" s="350">
        <v>8442</v>
      </c>
      <c r="I35" s="347">
        <v>565</v>
      </c>
      <c r="J35" s="347">
        <v>231</v>
      </c>
      <c r="K35" s="351">
        <v>9239</v>
      </c>
      <c r="L35" s="347">
        <v>882</v>
      </c>
      <c r="M35" s="347">
        <v>109</v>
      </c>
      <c r="N35" s="371">
        <v>13250</v>
      </c>
      <c r="O35" s="494"/>
      <c r="P35" s="273">
        <f t="shared" si="0"/>
        <v>281</v>
      </c>
      <c r="Q35" s="273">
        <f t="shared" si="1"/>
        <v>2739</v>
      </c>
      <c r="R35" s="273">
        <f t="shared" si="5"/>
        <v>10230</v>
      </c>
      <c r="S35" s="280">
        <f t="shared" si="2"/>
        <v>21257</v>
      </c>
      <c r="T35" s="308">
        <f t="shared" si="6"/>
        <v>1.2671889519613982E-2</v>
      </c>
      <c r="U35" s="273">
        <f t="shared" si="3"/>
        <v>13250</v>
      </c>
      <c r="V35" s="273">
        <f t="shared" si="4"/>
        <v>0</v>
      </c>
    </row>
    <row r="36" spans="1:22" s="280" customFormat="1">
      <c r="A36" s="347" t="s">
        <v>82</v>
      </c>
      <c r="B36" s="350">
        <v>2831</v>
      </c>
      <c r="C36" s="347">
        <v>70</v>
      </c>
      <c r="D36" s="347">
        <v>642</v>
      </c>
      <c r="E36" s="350">
        <v>6535</v>
      </c>
      <c r="F36" s="347">
        <v>855</v>
      </c>
      <c r="G36" s="351">
        <v>10932</v>
      </c>
      <c r="H36" s="350">
        <v>28300</v>
      </c>
      <c r="I36" s="347">
        <v>0</v>
      </c>
      <c r="J36" s="347">
        <v>127</v>
      </c>
      <c r="K36" s="351">
        <v>28427</v>
      </c>
      <c r="L36" s="348">
        <v>5</v>
      </c>
      <c r="M36" s="349">
        <f>N36-L36-K36-G36</f>
        <v>431</v>
      </c>
      <c r="N36" s="371">
        <v>39795</v>
      </c>
      <c r="O36" s="494"/>
      <c r="P36" s="273">
        <f t="shared" si="0"/>
        <v>3473</v>
      </c>
      <c r="Q36" s="273">
        <f t="shared" si="1"/>
        <v>7460</v>
      </c>
      <c r="R36" s="273">
        <f t="shared" si="5"/>
        <v>28863</v>
      </c>
      <c r="S36" s="280">
        <f t="shared" si="2"/>
        <v>85973</v>
      </c>
      <c r="T36" s="308">
        <f t="shared" si="6"/>
        <v>5.1250898888355503E-2</v>
      </c>
      <c r="U36" s="273">
        <f t="shared" si="3"/>
        <v>39796</v>
      </c>
      <c r="V36" s="273">
        <f t="shared" si="4"/>
        <v>-1</v>
      </c>
    </row>
    <row r="37" spans="1:22" s="280" customFormat="1">
      <c r="A37" s="347" t="s">
        <v>54</v>
      </c>
      <c r="B37" s="347">
        <v>668</v>
      </c>
      <c r="C37" s="347">
        <v>0</v>
      </c>
      <c r="D37" s="347">
        <v>85</v>
      </c>
      <c r="E37" s="350">
        <v>1252</v>
      </c>
      <c r="F37" s="349">
        <v>737</v>
      </c>
      <c r="G37" s="357">
        <f>SUM(B37:F37)</f>
        <v>2742</v>
      </c>
      <c r="H37" s="359">
        <v>11995</v>
      </c>
      <c r="I37" s="352">
        <f>N37-M37-L37-G37-J37-H37</f>
        <v>546</v>
      </c>
      <c r="J37" s="355">
        <v>455</v>
      </c>
      <c r="K37" s="357">
        <f>SUM(H37:J37)</f>
        <v>12996</v>
      </c>
      <c r="L37" s="347">
        <v>431</v>
      </c>
      <c r="M37" s="347">
        <v>47</v>
      </c>
      <c r="N37" s="371">
        <v>16216</v>
      </c>
      <c r="O37" s="494"/>
      <c r="P37" s="273">
        <f t="shared" si="0"/>
        <v>753</v>
      </c>
      <c r="Q37" s="273">
        <f t="shared" si="1"/>
        <v>1989</v>
      </c>
      <c r="R37" s="273">
        <f t="shared" si="5"/>
        <v>13474</v>
      </c>
      <c r="S37" s="280">
        <f t="shared" si="2"/>
        <v>26971</v>
      </c>
      <c r="T37" s="308">
        <f t="shared" si="6"/>
        <v>1.6078164004022615E-2</v>
      </c>
      <c r="U37" s="273">
        <f t="shared" si="3"/>
        <v>16216</v>
      </c>
      <c r="V37" s="273">
        <f t="shared" si="4"/>
        <v>0</v>
      </c>
    </row>
    <row r="38" spans="1:22" s="280" customFormat="1">
      <c r="A38" s="347" t="s">
        <v>21</v>
      </c>
      <c r="B38" s="347">
        <v>675</v>
      </c>
      <c r="C38" s="347">
        <v>0</v>
      </c>
      <c r="D38" s="347">
        <v>136</v>
      </c>
      <c r="E38" s="350">
        <v>5273</v>
      </c>
      <c r="F38" s="347">
        <v>886</v>
      </c>
      <c r="G38" s="351">
        <v>6969</v>
      </c>
      <c r="H38" s="350">
        <v>17190</v>
      </c>
      <c r="I38" s="347">
        <v>0</v>
      </c>
      <c r="J38" s="347">
        <v>16</v>
      </c>
      <c r="K38" s="351">
        <v>17206</v>
      </c>
      <c r="L38" s="347">
        <v>207</v>
      </c>
      <c r="M38" s="347">
        <v>129</v>
      </c>
      <c r="N38" s="371">
        <v>24511</v>
      </c>
      <c r="O38" s="494"/>
      <c r="P38" s="273">
        <f t="shared" si="0"/>
        <v>811</v>
      </c>
      <c r="Q38" s="273">
        <f t="shared" si="1"/>
        <v>6159</v>
      </c>
      <c r="R38" s="273">
        <f t="shared" si="5"/>
        <v>17542</v>
      </c>
      <c r="S38" s="280">
        <f t="shared" si="2"/>
        <v>44129</v>
      </c>
      <c r="T38" s="308">
        <f t="shared" si="6"/>
        <v>2.630652550270713E-2</v>
      </c>
      <c r="U38" s="273">
        <f t="shared" si="3"/>
        <v>24512</v>
      </c>
      <c r="V38" s="273">
        <f t="shared" si="4"/>
        <v>-1</v>
      </c>
    </row>
    <row r="39" spans="1:22" s="280" customFormat="1">
      <c r="A39" s="347" t="s">
        <v>42</v>
      </c>
      <c r="B39" s="347">
        <v>101</v>
      </c>
      <c r="C39" s="347">
        <v>0</v>
      </c>
      <c r="D39" s="347">
        <v>11</v>
      </c>
      <c r="E39" s="347">
        <v>171</v>
      </c>
      <c r="F39" s="347">
        <v>301</v>
      </c>
      <c r="G39" s="354">
        <v>583</v>
      </c>
      <c r="H39" s="350">
        <v>4617</v>
      </c>
      <c r="I39" s="349">
        <f>K39-J39-H39</f>
        <v>25</v>
      </c>
      <c r="J39" s="348">
        <v>5</v>
      </c>
      <c r="K39" s="351">
        <v>4647</v>
      </c>
      <c r="L39" s="347">
        <v>501</v>
      </c>
      <c r="M39" s="347">
        <v>273</v>
      </c>
      <c r="N39" s="371">
        <v>6004</v>
      </c>
      <c r="O39" s="494"/>
      <c r="P39" s="273">
        <f t="shared" si="0"/>
        <v>112</v>
      </c>
      <c r="Q39" s="273">
        <f t="shared" si="1"/>
        <v>472</v>
      </c>
      <c r="R39" s="273">
        <f t="shared" si="5"/>
        <v>5421</v>
      </c>
      <c r="S39" s="280">
        <f t="shared" si="2"/>
        <v>7957</v>
      </c>
      <c r="T39" s="308">
        <f t="shared" si="6"/>
        <v>4.7433892321385174E-3</v>
      </c>
      <c r="U39" s="273">
        <f t="shared" si="3"/>
        <v>6005</v>
      </c>
      <c r="V39" s="273">
        <f t="shared" si="4"/>
        <v>-1</v>
      </c>
    </row>
    <row r="40" spans="1:22" s="280" customFormat="1">
      <c r="A40" s="347" t="s">
        <v>83</v>
      </c>
      <c r="B40" s="350">
        <v>1434</v>
      </c>
      <c r="C40" s="347">
        <v>40</v>
      </c>
      <c r="D40" s="347">
        <v>187</v>
      </c>
      <c r="E40" s="350">
        <v>1666</v>
      </c>
      <c r="F40" s="347">
        <v>513</v>
      </c>
      <c r="G40" s="351">
        <v>3840</v>
      </c>
      <c r="H40" s="350">
        <v>14839</v>
      </c>
      <c r="I40" s="347">
        <v>0</v>
      </c>
      <c r="J40" s="352">
        <f>K40-I40-H40</f>
        <v>96</v>
      </c>
      <c r="K40" s="357">
        <f>N40-M40-L40-G40</f>
        <v>14935</v>
      </c>
      <c r="L40" s="347">
        <v>77</v>
      </c>
      <c r="M40" s="348">
        <v>5</v>
      </c>
      <c r="N40" s="371">
        <v>18857</v>
      </c>
      <c r="O40" s="494"/>
      <c r="P40" s="273">
        <f t="shared" si="0"/>
        <v>1621</v>
      </c>
      <c r="Q40" s="273">
        <f t="shared" si="1"/>
        <v>2219</v>
      </c>
      <c r="R40" s="273">
        <f t="shared" si="5"/>
        <v>15017</v>
      </c>
      <c r="S40" s="280">
        <f t="shared" si="2"/>
        <v>37884</v>
      </c>
      <c r="T40" s="308">
        <f t="shared" si="6"/>
        <v>2.258370713464064E-2</v>
      </c>
      <c r="U40" s="273">
        <f t="shared" si="3"/>
        <v>18857</v>
      </c>
      <c r="V40" s="273">
        <f t="shared" si="4"/>
        <v>0</v>
      </c>
    </row>
    <row r="41" spans="1:22" s="280" customFormat="1">
      <c r="A41" s="356" t="s">
        <v>22</v>
      </c>
      <c r="B41" s="347">
        <v>542</v>
      </c>
      <c r="C41" s="347">
        <v>0</v>
      </c>
      <c r="D41" s="347">
        <v>62</v>
      </c>
      <c r="E41" s="350">
        <v>3269</v>
      </c>
      <c r="F41" s="347">
        <v>400</v>
      </c>
      <c r="G41" s="351">
        <v>4273</v>
      </c>
      <c r="H41" s="350">
        <v>22873</v>
      </c>
      <c r="I41" s="347">
        <v>0</v>
      </c>
      <c r="J41" s="347">
        <v>624</v>
      </c>
      <c r="K41" s="351">
        <v>23497</v>
      </c>
      <c r="L41" s="347">
        <v>410</v>
      </c>
      <c r="M41" s="347">
        <v>214</v>
      </c>
      <c r="N41" s="371">
        <v>28394</v>
      </c>
      <c r="O41" s="494"/>
      <c r="P41" s="273">
        <f t="shared" si="0"/>
        <v>604</v>
      </c>
      <c r="Q41" s="273">
        <f t="shared" si="1"/>
        <v>3669</v>
      </c>
      <c r="R41" s="273">
        <f t="shared" si="5"/>
        <v>24121</v>
      </c>
      <c r="S41" s="280">
        <f t="shared" si="2"/>
        <v>41168</v>
      </c>
      <c r="T41" s="308">
        <f t="shared" si="6"/>
        <v>2.4541390965021802E-2</v>
      </c>
      <c r="U41" s="273">
        <f t="shared" si="3"/>
        <v>28394</v>
      </c>
      <c r="V41" s="273">
        <f t="shared" si="4"/>
        <v>0</v>
      </c>
    </row>
    <row r="42" spans="1:22" s="280" customFormat="1">
      <c r="A42" s="356" t="s">
        <v>23</v>
      </c>
      <c r="B42" s="347">
        <v>928</v>
      </c>
      <c r="C42" s="348">
        <v>5</v>
      </c>
      <c r="D42" s="349">
        <f>G42-F42-E42-C42-B42</f>
        <v>163</v>
      </c>
      <c r="E42" s="350">
        <v>3236</v>
      </c>
      <c r="F42" s="347">
        <v>833</v>
      </c>
      <c r="G42" s="351">
        <v>5165</v>
      </c>
      <c r="H42" s="350">
        <v>14908</v>
      </c>
      <c r="I42" s="347">
        <v>0</v>
      </c>
      <c r="J42" s="347">
        <v>10</v>
      </c>
      <c r="K42" s="351">
        <v>14918</v>
      </c>
      <c r="L42" s="347">
        <v>350</v>
      </c>
      <c r="M42" s="347">
        <v>304</v>
      </c>
      <c r="N42" s="371">
        <v>20737</v>
      </c>
      <c r="O42" s="494"/>
      <c r="P42" s="273">
        <f t="shared" si="0"/>
        <v>1091</v>
      </c>
      <c r="Q42" s="273">
        <f t="shared" si="1"/>
        <v>4074</v>
      </c>
      <c r="R42" s="273">
        <f t="shared" si="5"/>
        <v>15572</v>
      </c>
      <c r="S42" s="280">
        <f t="shared" si="2"/>
        <v>38704</v>
      </c>
      <c r="T42" s="308">
        <f t="shared" si="6"/>
        <v>2.3072531964394769E-2</v>
      </c>
      <c r="U42" s="273">
        <f t="shared" si="3"/>
        <v>20737</v>
      </c>
      <c r="V42" s="273">
        <f t="shared" si="4"/>
        <v>0</v>
      </c>
    </row>
    <row r="43" spans="1:22" s="280" customFormat="1">
      <c r="A43" s="347" t="s">
        <v>33</v>
      </c>
      <c r="B43" s="347">
        <v>461</v>
      </c>
      <c r="C43" s="347">
        <v>21</v>
      </c>
      <c r="D43" s="347">
        <v>41</v>
      </c>
      <c r="E43" s="350">
        <v>1399</v>
      </c>
      <c r="F43" s="347">
        <v>778</v>
      </c>
      <c r="G43" s="351">
        <v>2700</v>
      </c>
      <c r="H43" s="360">
        <v>14878</v>
      </c>
      <c r="I43" s="361">
        <v>5</v>
      </c>
      <c r="J43" s="361">
        <v>5</v>
      </c>
      <c r="K43" s="362">
        <v>14889</v>
      </c>
      <c r="L43" s="363">
        <v>372</v>
      </c>
      <c r="M43" s="363">
        <v>83</v>
      </c>
      <c r="N43" s="373">
        <v>18044</v>
      </c>
      <c r="O43" s="494"/>
      <c r="P43" s="370">
        <f t="shared" si="0"/>
        <v>502</v>
      </c>
      <c r="Q43" s="370">
        <f t="shared" si="1"/>
        <v>2198</v>
      </c>
      <c r="R43" s="273">
        <f t="shared" si="5"/>
        <v>15344</v>
      </c>
      <c r="S43" s="369">
        <f t="shared" si="2"/>
        <v>26958</v>
      </c>
      <c r="T43" s="308">
        <f t="shared" si="6"/>
        <v>1.6070414342087488E-2</v>
      </c>
      <c r="U43" s="370">
        <f t="shared" si="3"/>
        <v>18044</v>
      </c>
      <c r="V43" s="370">
        <f t="shared" si="4"/>
        <v>0</v>
      </c>
    </row>
    <row r="44" spans="1:22" s="496" customFormat="1" thickBot="1">
      <c r="A44" s="407" t="s">
        <v>10</v>
      </c>
      <c r="B44" s="259">
        <f>SUM(B5:B43)</f>
        <v>34258</v>
      </c>
      <c r="C44" s="259">
        <f>SUM(C5:C43)</f>
        <v>885</v>
      </c>
      <c r="D44" s="259">
        <f>SUM(D5:D43)</f>
        <v>5086</v>
      </c>
      <c r="E44" s="259">
        <f>SUM(E5:E43)</f>
        <v>102742</v>
      </c>
      <c r="F44" s="259">
        <f>SUM(F5:F43)</f>
        <v>31495</v>
      </c>
      <c r="G44" s="364">
        <f t="shared" ref="G44:N44" si="7">SUM(G5:G43)</f>
        <v>174462</v>
      </c>
      <c r="H44" s="259">
        <f t="shared" si="7"/>
        <v>613395</v>
      </c>
      <c r="I44" s="259">
        <f t="shared" si="7"/>
        <v>5160</v>
      </c>
      <c r="J44" s="259">
        <f t="shared" si="7"/>
        <v>7063</v>
      </c>
      <c r="K44" s="364">
        <f t="shared" si="7"/>
        <v>625622</v>
      </c>
      <c r="L44" s="259">
        <f t="shared" si="7"/>
        <v>9548</v>
      </c>
      <c r="M44" s="259">
        <f t="shared" si="7"/>
        <v>7409</v>
      </c>
      <c r="N44" s="373">
        <f t="shared" si="7"/>
        <v>817044</v>
      </c>
      <c r="O44" s="495"/>
      <c r="P44" s="259">
        <f t="shared" si="0"/>
        <v>39344</v>
      </c>
      <c r="Q44" s="259">
        <f t="shared" si="1"/>
        <v>135122</v>
      </c>
      <c r="R44" s="259">
        <f>SUM(K44:M44)</f>
        <v>642579</v>
      </c>
      <c r="S44" s="259">
        <f>SUM(S5:S43)</f>
        <v>1441385</v>
      </c>
      <c r="T44" s="344">
        <f>SUM(T5:T43)</f>
        <v>0.8592497283355508</v>
      </c>
      <c r="U44" s="321"/>
      <c r="V44" s="321"/>
    </row>
    <row r="45" spans="1:22" s="280" customFormat="1">
      <c r="A45" s="311" t="s">
        <v>65</v>
      </c>
      <c r="B45" s="365">
        <f>'Tbl 4.1 2009'!B44</f>
        <v>31725</v>
      </c>
      <c r="C45" s="365">
        <f>'Tbl 4.1 2009'!C44</f>
        <v>876</v>
      </c>
      <c r="D45" s="365">
        <f>'Tbl 4.1 2009'!D44</f>
        <v>4813</v>
      </c>
      <c r="E45" s="365">
        <f>'Tbl 4.1 2009'!E44</f>
        <v>97521</v>
      </c>
      <c r="F45" s="365">
        <f>'Tbl 4.1 2009'!F44+'Tbl 4.1 2009'!G44</f>
        <v>30846</v>
      </c>
      <c r="G45" s="366">
        <f>'Tbl 4.1 2009'!H44</f>
        <v>165768</v>
      </c>
      <c r="H45" s="366">
        <f>'Tbl 4.1 2009'!I44</f>
        <v>581288</v>
      </c>
      <c r="I45" s="366">
        <f>'Tbl 4.1 2009'!J44</f>
        <v>4219</v>
      </c>
      <c r="J45" s="366">
        <f>'Tbl 4.1 2009'!K44+'Tbl 4.1 2009'!L44</f>
        <v>6054</v>
      </c>
      <c r="K45" s="366">
        <f>'Tbl 4.1 2009'!M44</f>
        <v>591551</v>
      </c>
      <c r="L45" s="366">
        <f>'Tbl 4.1 2009'!N44</f>
        <v>7526</v>
      </c>
      <c r="M45" s="366">
        <f>'Tbl 4.1 2009'!O44</f>
        <v>8029</v>
      </c>
      <c r="N45" s="374">
        <f>'Tbl 4.1 2009'!P44</f>
        <v>772874</v>
      </c>
      <c r="O45" s="494"/>
      <c r="P45" s="365">
        <f>'Tbl 4.1 2009'!Q44</f>
        <v>36538</v>
      </c>
      <c r="Q45" s="365">
        <f>'Tbl 4.1 2009'!R44</f>
        <v>129243</v>
      </c>
      <c r="R45" s="365">
        <f>'Tbl 4.1 2009'!S44</f>
        <v>607106</v>
      </c>
      <c r="S45" s="365">
        <f>'Tbl 4.1 2009'!T44</f>
        <v>1360215</v>
      </c>
      <c r="T45" s="273"/>
    </row>
    <row r="46" spans="1:22" s="280" customFormat="1">
      <c r="A46" s="312" t="s">
        <v>66</v>
      </c>
      <c r="B46" s="281">
        <f>(B44-B45)/B45</f>
        <v>7.984239558707644E-2</v>
      </c>
      <c r="C46" s="281">
        <f t="shared" ref="C46:N46" si="8">(C44-C45)/C45</f>
        <v>1.0273972602739725E-2</v>
      </c>
      <c r="D46" s="281">
        <f t="shared" si="8"/>
        <v>5.6721379596924998E-2</v>
      </c>
      <c r="E46" s="281">
        <f t="shared" si="8"/>
        <v>5.3537186862316836E-2</v>
      </c>
      <c r="F46" s="281">
        <f t="shared" si="8"/>
        <v>2.104000518705829E-2</v>
      </c>
      <c r="G46" s="367">
        <f t="shared" si="8"/>
        <v>5.2446793108440713E-2</v>
      </c>
      <c r="H46" s="281">
        <f t="shared" si="8"/>
        <v>5.5234238449787372E-2</v>
      </c>
      <c r="I46" s="281">
        <f t="shared" si="8"/>
        <v>0.22303863474757052</v>
      </c>
      <c r="J46" s="281">
        <f t="shared" si="8"/>
        <v>0.16666666666666666</v>
      </c>
      <c r="K46" s="282">
        <f t="shared" si="8"/>
        <v>5.7596048354241647E-2</v>
      </c>
      <c r="L46" s="281">
        <f t="shared" si="8"/>
        <v>0.26866861546638321</v>
      </c>
      <c r="M46" s="281">
        <f t="shared" si="8"/>
        <v>-7.7220077220077218E-2</v>
      </c>
      <c r="N46" s="490">
        <f t="shared" si="8"/>
        <v>5.7150324632475671E-2</v>
      </c>
      <c r="O46" s="494"/>
      <c r="P46" s="192">
        <f>(P44-P45)/P45</f>
        <v>7.6796759538015222E-2</v>
      </c>
      <c r="Q46" s="192">
        <f>(Q44-Q45)/Q45</f>
        <v>4.5487956794565278E-2</v>
      </c>
      <c r="R46" s="192">
        <f>(R44-R45)/R45</f>
        <v>5.8429664671408289E-2</v>
      </c>
      <c r="S46" s="192">
        <f>(S44-S45)/S45</f>
        <v>5.9674389710450186E-2</v>
      </c>
    </row>
    <row r="48" spans="1:22">
      <c r="A48" s="274" t="s">
        <v>72</v>
      </c>
    </row>
    <row r="49" spans="1:22">
      <c r="A49" s="497" t="s">
        <v>73</v>
      </c>
    </row>
    <row r="50" spans="1:22">
      <c r="A50" s="316" t="s">
        <v>70</v>
      </c>
    </row>
    <row r="52" spans="1:22">
      <c r="A52" s="316" t="str">
        <f>'NZ EFT08-2011'!$B$54</f>
        <v>Auckland University of Technology</v>
      </c>
      <c r="N52" s="486">
        <f>SUM(P52:R52)</f>
        <v>16845.854200000369</v>
      </c>
      <c r="P52" s="319">
        <f>'NZ EFT08-2011'!J57+'NZ EFT08-2011'!J58</f>
        <v>564.02889999999991</v>
      </c>
      <c r="Q52" s="319">
        <f>'NZ EFT08-2011'!J56</f>
        <v>1041.8568</v>
      </c>
      <c r="R52" s="319">
        <f>'NZ EFT08-2011'!J55+'NZ EFT08-2011'!J59</f>
        <v>15239.96850000037</v>
      </c>
      <c r="S52" s="320">
        <f t="shared" ref="S52:S59" si="9">(10*P52)+(3*Q52)+R52</f>
        <v>24005.827900000368</v>
      </c>
      <c r="T52" s="308">
        <f t="shared" ref="T52:T59" si="10">S52/($S$44+$S$60)</f>
        <v>1.4310542361371388E-2</v>
      </c>
    </row>
    <row r="53" spans="1:22">
      <c r="A53" s="316" t="str">
        <f>'NZ EFT08-2011'!$B$40</f>
        <v>Lincoln University</v>
      </c>
      <c r="N53" s="486">
        <f t="shared" ref="N53:N59" si="11">SUM(P53:R53)</f>
        <v>2352.0367999999962</v>
      </c>
      <c r="P53" s="319">
        <f>'NZ EFT08-2011'!J43+'NZ EFT08-2011'!J44</f>
        <v>313.20859999999999</v>
      </c>
      <c r="Q53" s="319">
        <f>'NZ EFT08-2011'!J42</f>
        <v>114.606400000001</v>
      </c>
      <c r="R53" s="319">
        <f>'NZ EFT08-2011'!J41+'NZ EFT08-2011'!J45</f>
        <v>1924.221799999995</v>
      </c>
      <c r="S53" s="320">
        <f t="shared" si="9"/>
        <v>5400.1269999999977</v>
      </c>
      <c r="T53" s="308">
        <f t="shared" si="10"/>
        <v>3.2191660505190983E-3</v>
      </c>
    </row>
    <row r="54" spans="1:22">
      <c r="A54" s="316" t="str">
        <f>'NZ EFT08-2011'!$B$19</f>
        <v>Massey University</v>
      </c>
      <c r="N54" s="486">
        <f t="shared" si="11"/>
        <v>19436.708000000639</v>
      </c>
      <c r="P54" s="319">
        <f>'NZ EFT08-2011'!J22+'NZ EFT08-2011'!J23</f>
        <v>1422.8539000000001</v>
      </c>
      <c r="Q54" s="319">
        <f>'NZ EFT08-2011'!J21</f>
        <v>2150.6601999999898</v>
      </c>
      <c r="R54" s="319">
        <f>'NZ EFT08-2011'!J20+'NZ EFT08-2011'!J24</f>
        <v>15863.19390000065</v>
      </c>
      <c r="S54" s="320">
        <f t="shared" si="9"/>
        <v>36543.713500000624</v>
      </c>
      <c r="T54" s="308">
        <f t="shared" si="10"/>
        <v>2.178472503685534E-2</v>
      </c>
    </row>
    <row r="55" spans="1:22">
      <c r="A55" s="316" t="str">
        <f>'NZ EFT08-2011'!$B$5</f>
        <v>University of Auckland</v>
      </c>
      <c r="N55" s="486">
        <f t="shared" si="11"/>
        <v>32226.420399997536</v>
      </c>
      <c r="P55" s="319">
        <f>'NZ EFT08-2011'!J8+'NZ EFT08-2011'!J9</f>
        <v>2171.3096</v>
      </c>
      <c r="Q55" s="319">
        <f>'NZ EFT08-2011'!J7</f>
        <v>3875.9870999997902</v>
      </c>
      <c r="R55" s="319">
        <f>'NZ EFT08-2011'!J6+'NZ EFT08-2011'!J10</f>
        <v>26179.123699997748</v>
      </c>
      <c r="S55" s="320">
        <f t="shared" si="9"/>
        <v>59520.180999997123</v>
      </c>
      <c r="T55" s="308">
        <f t="shared" si="10"/>
        <v>3.5481637005193155E-2</v>
      </c>
    </row>
    <row r="56" spans="1:22">
      <c r="A56" s="316" t="str">
        <f>'NZ EFT08-2011'!$B$33</f>
        <v>University of Canterbury</v>
      </c>
      <c r="N56" s="486">
        <f t="shared" si="11"/>
        <v>15194.17480000079</v>
      </c>
      <c r="P56" s="319">
        <f>'NZ EFT08-2011'!J36</f>
        <v>1059.1688999999999</v>
      </c>
      <c r="Q56" s="319">
        <f>'NZ EFT08-2011'!J35</f>
        <v>966.51000000001</v>
      </c>
      <c r="R56" s="319">
        <f>'NZ EFT08-2011'!J34+'NZ EFT08-2011'!J38</f>
        <v>13168.49590000078</v>
      </c>
      <c r="S56" s="320">
        <f t="shared" si="9"/>
        <v>26659.714900000807</v>
      </c>
      <c r="T56" s="308">
        <f t="shared" si="10"/>
        <v>1.589259828937371E-2</v>
      </c>
    </row>
    <row r="57" spans="1:22">
      <c r="A57" s="316" t="str">
        <f>'NZ EFT08-2011'!$B$47</f>
        <v>University of Otago</v>
      </c>
      <c r="N57" s="486">
        <f t="shared" si="11"/>
        <v>19664.43049998262</v>
      </c>
      <c r="P57" s="319">
        <f>'NZ EFT08-2011'!J50+'NZ EFT08-2011'!J51</f>
        <v>1518.1844000000001</v>
      </c>
      <c r="Q57" s="319">
        <f>'NZ EFT08-2011'!J49</f>
        <v>1406.10140000006</v>
      </c>
      <c r="R57" s="319">
        <f>'NZ EFT08-2011'!J48+'NZ EFT08-2011'!J52</f>
        <v>16740.14469998256</v>
      </c>
      <c r="S57" s="320">
        <f t="shared" si="9"/>
        <v>36140.292899982742</v>
      </c>
      <c r="T57" s="308">
        <f t="shared" si="10"/>
        <v>2.1544234785485766E-2</v>
      </c>
    </row>
    <row r="58" spans="1:22">
      <c r="A58" s="316" t="str">
        <f>'NZ EFT08-2011'!$B$12</f>
        <v>University of Waikato</v>
      </c>
      <c r="N58" s="486">
        <f t="shared" si="11"/>
        <v>10033.286000000946</v>
      </c>
      <c r="P58" s="319">
        <f>'NZ EFT08-2011'!J15+'NZ EFT08-2011'!J16</f>
        <v>630.11339999999802</v>
      </c>
      <c r="Q58" s="319">
        <f>'NZ EFT08-2011'!J14</f>
        <v>943.553799999999</v>
      </c>
      <c r="R58" s="319">
        <f>'NZ EFT08-2011'!J13+'NZ EFT08-2011'!J17</f>
        <v>8459.6188000009497</v>
      </c>
      <c r="S58" s="320">
        <f t="shared" si="9"/>
        <v>17591.414200000927</v>
      </c>
      <c r="T58" s="308">
        <f t="shared" si="10"/>
        <v>1.0486731770060702E-2</v>
      </c>
    </row>
    <row r="59" spans="1:22">
      <c r="A59" s="316" t="str">
        <f>'NZ EFT08-2011'!$B$26</f>
        <v>Victoria University of Wellington</v>
      </c>
      <c r="N59" s="486">
        <f t="shared" si="11"/>
        <v>17567.073399999081</v>
      </c>
      <c r="P59" s="319">
        <f>'NZ EFT08-2011'!J29+'NZ EFT08-2011'!J30</f>
        <v>1086.9784</v>
      </c>
      <c r="Q59" s="319">
        <f>'NZ EFT08-2011'!J28</f>
        <v>1448.1894</v>
      </c>
      <c r="R59" s="319">
        <f>'NZ EFT08-2011'!J27+'NZ EFT08-2011'!J31</f>
        <v>15031.90559999908</v>
      </c>
      <c r="S59" s="320">
        <f t="shared" si="9"/>
        <v>30246.257799999079</v>
      </c>
      <c r="T59" s="308">
        <f t="shared" si="10"/>
        <v>1.8030636365590207E-2</v>
      </c>
    </row>
    <row r="60" spans="1:22" ht="12" thickBot="1">
      <c r="A60" s="407" t="s">
        <v>134</v>
      </c>
      <c r="B60" s="483"/>
      <c r="C60" s="483"/>
      <c r="D60" s="483"/>
      <c r="E60" s="483"/>
      <c r="F60" s="483"/>
      <c r="G60" s="483"/>
      <c r="H60" s="483"/>
      <c r="I60" s="483"/>
      <c r="J60" s="483"/>
      <c r="K60" s="483"/>
      <c r="L60" s="483"/>
      <c r="M60" s="483"/>
      <c r="N60" s="261">
        <f>SUM(N52:N59)</f>
        <v>133319.98409998199</v>
      </c>
      <c r="O60" s="498"/>
      <c r="P60" s="259">
        <f>SUM(P52:P59)</f>
        <v>8765.8460999999988</v>
      </c>
      <c r="Q60" s="259">
        <f>SUM(Q52:Q59)</f>
        <v>11947.46509999985</v>
      </c>
      <c r="R60" s="259">
        <f>SUM(R52:R59)</f>
        <v>112606.67289998212</v>
      </c>
      <c r="S60" s="259">
        <f>SUM(S52:S59)</f>
        <v>236107.52919998168</v>
      </c>
      <c r="T60" s="344">
        <f>SUM(T52:T59)</f>
        <v>0.14075027166444939</v>
      </c>
      <c r="U60" s="322"/>
      <c r="V60" s="322"/>
    </row>
    <row r="62" spans="1:22">
      <c r="A62" s="316" t="s">
        <v>132</v>
      </c>
      <c r="N62" s="520">
        <f>N44+N60</f>
        <v>950363.98409998196</v>
      </c>
      <c r="O62" s="521"/>
      <c r="P62" s="522">
        <f>P44+P60</f>
        <v>48109.846099999995</v>
      </c>
      <c r="Q62" s="522">
        <f>Q44+Q60</f>
        <v>147069.46509999986</v>
      </c>
      <c r="R62" s="522">
        <f>R44+R60</f>
        <v>755185.67289998208</v>
      </c>
      <c r="S62" s="522">
        <f>S44+S60</f>
        <v>1677492.5291999816</v>
      </c>
      <c r="T62" s="324">
        <f>SUM(T5:T43)+SUM(T52:T59)</f>
        <v>1.0000000000000002</v>
      </c>
    </row>
    <row r="63" spans="1:22">
      <c r="T63" s="325" t="str">
        <f>IF(T44+T60=T62,"ok","check!!")</f>
        <v>ok</v>
      </c>
    </row>
    <row r="64" spans="1:22">
      <c r="A64" s="316" t="s">
        <v>157</v>
      </c>
    </row>
    <row r="65" spans="1:19">
      <c r="A65" s="493" t="s">
        <v>135</v>
      </c>
      <c r="N65" s="317">
        <v>903</v>
      </c>
      <c r="S65" s="317">
        <f>10*N65</f>
        <v>9030</v>
      </c>
    </row>
    <row r="66" spans="1:19">
      <c r="A66" s="493" t="s">
        <v>136</v>
      </c>
      <c r="N66" s="317">
        <v>286</v>
      </c>
      <c r="S66" s="317">
        <f t="shared" ref="S66:S84" si="12">10*N66</f>
        <v>2860</v>
      </c>
    </row>
    <row r="67" spans="1:19">
      <c r="A67" s="493" t="s">
        <v>137</v>
      </c>
      <c r="N67" s="319">
        <v>1098</v>
      </c>
      <c r="S67" s="317">
        <f t="shared" si="12"/>
        <v>10980</v>
      </c>
    </row>
    <row r="68" spans="1:19">
      <c r="A68" s="493" t="s">
        <v>138</v>
      </c>
      <c r="N68" s="319">
        <v>1068</v>
      </c>
      <c r="S68" s="319">
        <f>N68</f>
        <v>1068</v>
      </c>
    </row>
    <row r="69" spans="1:19">
      <c r="A69" s="493" t="s">
        <v>139</v>
      </c>
      <c r="N69" s="319">
        <v>5956</v>
      </c>
      <c r="S69" s="317">
        <f t="shared" si="12"/>
        <v>59560</v>
      </c>
    </row>
    <row r="70" spans="1:19">
      <c r="A70" s="493" t="s">
        <v>140</v>
      </c>
      <c r="S70" s="317">
        <f t="shared" si="12"/>
        <v>0</v>
      </c>
    </row>
    <row r="71" spans="1:19" ht="33.75">
      <c r="A71" s="493" t="s">
        <v>141</v>
      </c>
      <c r="S71" s="317">
        <f t="shared" si="12"/>
        <v>0</v>
      </c>
    </row>
    <row r="72" spans="1:19">
      <c r="A72" s="493" t="s">
        <v>142</v>
      </c>
      <c r="S72" s="317">
        <f t="shared" si="12"/>
        <v>0</v>
      </c>
    </row>
    <row r="73" spans="1:19" ht="33.75">
      <c r="A73" s="493" t="s">
        <v>143</v>
      </c>
      <c r="N73" s="319">
        <v>4516</v>
      </c>
      <c r="S73" s="317">
        <f t="shared" si="12"/>
        <v>45160</v>
      </c>
    </row>
    <row r="74" spans="1:19">
      <c r="A74" s="493" t="s">
        <v>144</v>
      </c>
      <c r="N74" s="319">
        <v>5082</v>
      </c>
      <c r="S74" s="317">
        <f t="shared" si="12"/>
        <v>50820</v>
      </c>
    </row>
    <row r="75" spans="1:19">
      <c r="A75" s="493" t="s">
        <v>145</v>
      </c>
      <c r="N75" s="317">
        <v>333</v>
      </c>
      <c r="S75" s="317">
        <f t="shared" si="12"/>
        <v>3330</v>
      </c>
    </row>
    <row r="76" spans="1:19">
      <c r="A76" s="493" t="s">
        <v>146</v>
      </c>
      <c r="S76" s="317">
        <f t="shared" si="12"/>
        <v>0</v>
      </c>
    </row>
    <row r="77" spans="1:19">
      <c r="A77" s="493" t="s">
        <v>147</v>
      </c>
      <c r="S77" s="317">
        <f t="shared" si="12"/>
        <v>0</v>
      </c>
    </row>
    <row r="78" spans="1:19" ht="22.5">
      <c r="A78" s="493" t="s">
        <v>148</v>
      </c>
      <c r="N78" s="317">
        <v>674</v>
      </c>
      <c r="S78" s="317">
        <f t="shared" si="12"/>
        <v>6740</v>
      </c>
    </row>
    <row r="79" spans="1:19">
      <c r="A79" s="493" t="s">
        <v>149</v>
      </c>
      <c r="N79" s="319">
        <v>7149</v>
      </c>
      <c r="S79" s="319">
        <f>N79</f>
        <v>7149</v>
      </c>
    </row>
    <row r="80" spans="1:19">
      <c r="A80" s="493" t="s">
        <v>150</v>
      </c>
      <c r="S80" s="317">
        <f t="shared" si="12"/>
        <v>0</v>
      </c>
    </row>
    <row r="81" spans="1:19" ht="22.5">
      <c r="A81" s="493" t="s">
        <v>151</v>
      </c>
      <c r="S81" s="317">
        <f t="shared" si="12"/>
        <v>0</v>
      </c>
    </row>
    <row r="82" spans="1:19">
      <c r="A82" s="493" t="s">
        <v>152</v>
      </c>
      <c r="N82" s="317">
        <v>321</v>
      </c>
      <c r="S82" s="317">
        <f t="shared" si="12"/>
        <v>3210</v>
      </c>
    </row>
    <row r="83" spans="1:19" ht="33.75">
      <c r="A83" s="493" t="s">
        <v>153</v>
      </c>
      <c r="N83" s="319">
        <v>4700</v>
      </c>
      <c r="S83" s="317">
        <f t="shared" si="12"/>
        <v>47000</v>
      </c>
    </row>
    <row r="84" spans="1:19">
      <c r="A84" s="493" t="s">
        <v>154</v>
      </c>
      <c r="N84" s="317">
        <v>696</v>
      </c>
      <c r="S84" s="317">
        <f t="shared" si="12"/>
        <v>6960</v>
      </c>
    </row>
    <row r="85" spans="1:19">
      <c r="A85" s="493" t="s">
        <v>155</v>
      </c>
      <c r="N85" s="319">
        <v>11655</v>
      </c>
      <c r="S85" s="319">
        <f>N85</f>
        <v>11655</v>
      </c>
    </row>
    <row r="86" spans="1:19">
      <c r="A86" s="493" t="s">
        <v>156</v>
      </c>
      <c r="S86" s="319">
        <f>N86</f>
        <v>0</v>
      </c>
    </row>
  </sheetData>
  <autoFilter ref="B4:V4" xr:uid="{00000000-0009-0000-0000-000010000000}"/>
  <mergeCells count="1">
    <mergeCell ref="A2:N2"/>
  </mergeCells>
  <phoneticPr fontId="6" type="noConversion"/>
  <hyperlinks>
    <hyperlink ref="A49" r:id="rId1" xr:uid="{00000000-0004-0000-1000-000000000000}"/>
    <hyperlink ref="A1" location="Index!A1" display="&lt; Back to Index &gt;" xr:uid="{00000000-0004-0000-1000-000001000000}"/>
    <hyperlink ref="V1" location="'Ave weight 1996-2013'!A1" display="Ave weight 1996-2013" xr:uid="{00000000-0004-0000-1000-000002000000}"/>
  </hyperlinks>
  <pageMargins left="0.39370078740157483" right="0.31496062992125984" top="0.59055118110236227" bottom="0.39370078740157483" header="0" footer="0"/>
  <pageSetup scale="64" orientation="landscape"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dimension ref="A1:T59"/>
  <sheetViews>
    <sheetView showGridLines="0" zoomScaleNormal="100" workbookViewId="0">
      <pane xSplit="1" ySplit="4" topLeftCell="B32" activePane="bottomRight" state="frozen"/>
      <selection pane="topRight" activeCell="B1" sqref="B1"/>
      <selection pane="bottomLeft" activeCell="A5" sqref="A5"/>
      <selection pane="bottomRight"/>
    </sheetView>
  </sheetViews>
  <sheetFormatPr defaultColWidth="9.140625" defaultRowHeight="11.25"/>
  <cols>
    <col min="1" max="1" width="31.7109375" style="394" customWidth="1"/>
    <col min="2" max="2" width="9.42578125" style="375" customWidth="1"/>
    <col min="3" max="3" width="10.42578125" style="375" customWidth="1"/>
    <col min="4" max="4" width="9.42578125" style="375" customWidth="1"/>
    <col min="5" max="5" width="10.7109375" style="375" customWidth="1"/>
    <col min="6" max="6" width="12.42578125" style="375" customWidth="1"/>
    <col min="7" max="7" width="8.28515625" style="375" bestFit="1" customWidth="1"/>
    <col min="8" max="8" width="9.28515625" style="375" bestFit="1" customWidth="1"/>
    <col min="9" max="9" width="13.140625" style="375" bestFit="1" customWidth="1"/>
    <col min="10" max="10" width="8.140625" style="375" bestFit="1" customWidth="1"/>
    <col min="11" max="11" width="7.85546875" style="375" bestFit="1" customWidth="1"/>
    <col min="12" max="12" width="9.7109375" style="375" bestFit="1" customWidth="1"/>
    <col min="13" max="13" width="6.140625" style="376" bestFit="1" customWidth="1"/>
    <col min="14" max="14" width="4.85546875" style="376" bestFit="1" customWidth="1"/>
    <col min="15" max="15" width="7.42578125" style="376" bestFit="1" customWidth="1"/>
    <col min="16" max="16" width="9.28515625" style="376" bestFit="1" customWidth="1"/>
    <col min="17" max="17" width="9.7109375" style="376" bestFit="1" customWidth="1"/>
    <col min="18" max="18" width="11.28515625" style="376" bestFit="1" customWidth="1"/>
    <col min="19" max="19" width="9" style="376" bestFit="1" customWidth="1"/>
    <col min="20" max="20" width="8" style="376" customWidth="1"/>
    <col min="21" max="16384" width="9.140625" style="376"/>
  </cols>
  <sheetData>
    <row r="1" spans="1:20" ht="12.75">
      <c r="A1" s="288" t="s">
        <v>286</v>
      </c>
      <c r="T1" s="523" t="s">
        <v>304</v>
      </c>
    </row>
    <row r="2" spans="1:20">
      <c r="A2" s="741" t="s">
        <v>162</v>
      </c>
      <c r="B2" s="741"/>
      <c r="C2" s="741"/>
      <c r="D2" s="741"/>
      <c r="E2" s="741"/>
      <c r="F2" s="741"/>
      <c r="G2" s="741"/>
      <c r="H2" s="741"/>
      <c r="I2" s="741"/>
      <c r="J2" s="741"/>
      <c r="K2" s="741"/>
      <c r="L2" s="741"/>
    </row>
    <row r="3" spans="1:20">
      <c r="A3" s="378" t="s">
        <v>159</v>
      </c>
      <c r="B3" s="291"/>
      <c r="C3" s="291"/>
      <c r="D3" s="291"/>
      <c r="E3" s="291"/>
      <c r="F3" s="291"/>
      <c r="G3" s="291"/>
      <c r="H3" s="291"/>
      <c r="I3" s="291"/>
      <c r="J3" s="291"/>
      <c r="K3" s="291"/>
      <c r="L3" s="291"/>
    </row>
    <row r="4" spans="1:20" s="152" customFormat="1" ht="33.75">
      <c r="A4" s="181" t="s">
        <v>71</v>
      </c>
      <c r="B4" s="171" t="s">
        <v>0</v>
      </c>
      <c r="C4" s="171" t="s">
        <v>1</v>
      </c>
      <c r="D4" s="171" t="s">
        <v>2</v>
      </c>
      <c r="E4" s="171" t="s">
        <v>3</v>
      </c>
      <c r="F4" s="171" t="s">
        <v>4</v>
      </c>
      <c r="G4" s="171" t="s">
        <v>5</v>
      </c>
      <c r="H4" s="171" t="s">
        <v>6</v>
      </c>
      <c r="I4" s="171" t="s">
        <v>7</v>
      </c>
      <c r="J4" s="171" t="s">
        <v>8</v>
      </c>
      <c r="K4" s="171" t="s">
        <v>9</v>
      </c>
      <c r="L4" s="201" t="s">
        <v>10</v>
      </c>
      <c r="M4" s="459" t="s">
        <v>294</v>
      </c>
      <c r="N4" s="459"/>
      <c r="O4" s="462" t="s">
        <v>86</v>
      </c>
      <c r="P4" s="462" t="s">
        <v>87</v>
      </c>
      <c r="Q4" s="462" t="s">
        <v>88</v>
      </c>
      <c r="R4" s="462" t="s">
        <v>89</v>
      </c>
      <c r="S4" s="462" t="s">
        <v>90</v>
      </c>
      <c r="T4" s="462" t="s">
        <v>227</v>
      </c>
    </row>
    <row r="5" spans="1:20" s="148" customFormat="1" ht="12.75" customHeight="1">
      <c r="A5" s="347" t="s">
        <v>62</v>
      </c>
      <c r="B5" s="379">
        <v>188</v>
      </c>
      <c r="C5" s="379">
        <v>7</v>
      </c>
      <c r="D5" s="379">
        <v>46</v>
      </c>
      <c r="E5" s="380">
        <v>1176</v>
      </c>
      <c r="F5" s="380">
        <v>998</v>
      </c>
      <c r="G5" s="380">
        <v>13657</v>
      </c>
      <c r="H5" s="379">
        <v>132</v>
      </c>
      <c r="I5" s="379">
        <v>336</v>
      </c>
      <c r="J5" s="379">
        <v>0</v>
      </c>
      <c r="K5" s="379">
        <v>177</v>
      </c>
      <c r="L5" s="386">
        <v>16716</v>
      </c>
      <c r="M5" s="148">
        <f>SUM(B5:K5)</f>
        <v>16717</v>
      </c>
      <c r="N5" s="381">
        <f t="shared" ref="N5:N43" si="0">L5-M5</f>
        <v>-1</v>
      </c>
      <c r="O5" s="381">
        <f>SUM(B5,D5)</f>
        <v>234</v>
      </c>
      <c r="P5" s="381">
        <f>SUM(C5,E5,F5)</f>
        <v>2181</v>
      </c>
      <c r="Q5" s="381">
        <f>SUM(G5:K5)</f>
        <v>14302</v>
      </c>
      <c r="R5" s="148">
        <f t="shared" ref="R5:R43" si="1">(10*O5)+(3*P5)+Q5</f>
        <v>23185</v>
      </c>
      <c r="S5" s="308">
        <f t="shared" ref="S5:S43" si="2">SUM(R5/($R$44+$R$57))</f>
        <v>1.3503774031504686E-2</v>
      </c>
      <c r="T5" s="381">
        <f t="shared" ref="T5:T43" si="3">SUM(O5:Q5)-L5</f>
        <v>1</v>
      </c>
    </row>
    <row r="6" spans="1:20" s="148" customFormat="1" ht="12.75" customHeight="1">
      <c r="A6" s="347" t="s">
        <v>84</v>
      </c>
      <c r="B6" s="380">
        <v>1940</v>
      </c>
      <c r="C6" s="382">
        <v>3</v>
      </c>
      <c r="D6" s="379">
        <v>92</v>
      </c>
      <c r="E6" s="380">
        <v>2107</v>
      </c>
      <c r="F6" s="379">
        <v>868</v>
      </c>
      <c r="G6" s="380">
        <v>8707</v>
      </c>
      <c r="H6" s="382">
        <v>36</v>
      </c>
      <c r="I6" s="379">
        <v>65</v>
      </c>
      <c r="J6" s="379">
        <v>52</v>
      </c>
      <c r="K6" s="379">
        <v>103</v>
      </c>
      <c r="L6" s="386">
        <v>13973</v>
      </c>
      <c r="M6" s="148">
        <f t="shared" ref="M6:M43" si="4">SUM(B6:K6)</f>
        <v>13973</v>
      </c>
      <c r="N6" s="381">
        <f t="shared" si="0"/>
        <v>0</v>
      </c>
      <c r="O6" s="381">
        <f t="shared" ref="O6:O43" si="5">SUM(B6,D6)</f>
        <v>2032</v>
      </c>
      <c r="P6" s="381">
        <f t="shared" ref="P6:P43" si="6">SUM(C6,E6,F6)</f>
        <v>2978</v>
      </c>
      <c r="Q6" s="381">
        <f t="shared" ref="Q6:Q43" si="7">SUM(G6:K6)</f>
        <v>8963</v>
      </c>
      <c r="R6" s="148">
        <f t="shared" si="1"/>
        <v>38217</v>
      </c>
      <c r="S6" s="308">
        <f t="shared" si="2"/>
        <v>2.2258948982618702E-2</v>
      </c>
      <c r="T6" s="381">
        <f t="shared" si="3"/>
        <v>0</v>
      </c>
    </row>
    <row r="7" spans="1:20" s="148" customFormat="1" ht="12.75" customHeight="1">
      <c r="A7" s="347" t="s">
        <v>35</v>
      </c>
      <c r="B7" s="379">
        <v>113</v>
      </c>
      <c r="C7" s="379">
        <v>85</v>
      </c>
      <c r="D7" s="379">
        <v>15</v>
      </c>
      <c r="E7" s="380">
        <v>1287</v>
      </c>
      <c r="F7" s="379">
        <v>213</v>
      </c>
      <c r="G7" s="380">
        <v>4125</v>
      </c>
      <c r="H7" s="379">
        <v>22</v>
      </c>
      <c r="I7" s="379">
        <v>57</v>
      </c>
      <c r="J7" s="379">
        <v>200</v>
      </c>
      <c r="K7" s="379">
        <v>489</v>
      </c>
      <c r="L7" s="386">
        <v>6607</v>
      </c>
      <c r="M7" s="148">
        <f t="shared" si="4"/>
        <v>6606</v>
      </c>
      <c r="N7" s="381">
        <f t="shared" si="0"/>
        <v>1</v>
      </c>
      <c r="O7" s="381">
        <f t="shared" si="5"/>
        <v>128</v>
      </c>
      <c r="P7" s="381">
        <f t="shared" si="6"/>
        <v>1585</v>
      </c>
      <c r="Q7" s="381">
        <f t="shared" si="7"/>
        <v>4893</v>
      </c>
      <c r="R7" s="148">
        <f t="shared" si="1"/>
        <v>10928</v>
      </c>
      <c r="S7" s="308">
        <f t="shared" si="2"/>
        <v>6.3648584264085926E-3</v>
      </c>
      <c r="T7" s="381">
        <f t="shared" si="3"/>
        <v>-1</v>
      </c>
    </row>
    <row r="8" spans="1:20" s="148" customFormat="1" ht="12.75" customHeight="1">
      <c r="A8" s="347" t="s">
        <v>36</v>
      </c>
      <c r="B8" s="379">
        <v>180</v>
      </c>
      <c r="C8" s="382">
        <v>3</v>
      </c>
      <c r="D8" s="379">
        <v>41</v>
      </c>
      <c r="E8" s="380">
        <v>2037</v>
      </c>
      <c r="F8" s="380">
        <v>1002</v>
      </c>
      <c r="G8" s="380">
        <v>7707</v>
      </c>
      <c r="H8" s="382">
        <v>23</v>
      </c>
      <c r="I8" s="379">
        <v>394</v>
      </c>
      <c r="J8" s="379">
        <v>801</v>
      </c>
      <c r="K8" s="379">
        <v>40</v>
      </c>
      <c r="L8" s="386">
        <v>12228</v>
      </c>
      <c r="M8" s="148">
        <f t="shared" si="4"/>
        <v>12228</v>
      </c>
      <c r="N8" s="381">
        <f t="shared" si="0"/>
        <v>0</v>
      </c>
      <c r="O8" s="381">
        <f t="shared" si="5"/>
        <v>221</v>
      </c>
      <c r="P8" s="381">
        <f t="shared" si="6"/>
        <v>3042</v>
      </c>
      <c r="Q8" s="381">
        <f t="shared" si="7"/>
        <v>8965</v>
      </c>
      <c r="R8" s="148">
        <f t="shared" si="1"/>
        <v>20301</v>
      </c>
      <c r="S8" s="308">
        <f t="shared" si="2"/>
        <v>1.1824029183246782E-2</v>
      </c>
      <c r="T8" s="381">
        <f t="shared" si="3"/>
        <v>0</v>
      </c>
    </row>
    <row r="9" spans="1:20" s="148" customFormat="1" ht="12.75" customHeight="1">
      <c r="A9" s="182" t="s">
        <v>57</v>
      </c>
      <c r="B9" s="379">
        <v>143</v>
      </c>
      <c r="C9" s="379">
        <v>7</v>
      </c>
      <c r="D9" s="379">
        <v>33</v>
      </c>
      <c r="E9" s="379">
        <v>241</v>
      </c>
      <c r="F9" s="379">
        <v>454</v>
      </c>
      <c r="G9" s="380">
        <v>3079</v>
      </c>
      <c r="H9" s="379">
        <v>15</v>
      </c>
      <c r="I9" s="379">
        <v>76</v>
      </c>
      <c r="J9" s="379">
        <v>456</v>
      </c>
      <c r="K9" s="379">
        <v>5</v>
      </c>
      <c r="L9" s="386">
        <v>4509</v>
      </c>
      <c r="M9" s="148">
        <f t="shared" si="4"/>
        <v>4509</v>
      </c>
      <c r="N9" s="381">
        <f t="shared" si="0"/>
        <v>0</v>
      </c>
      <c r="O9" s="381">
        <f t="shared" si="5"/>
        <v>176</v>
      </c>
      <c r="P9" s="381">
        <f t="shared" si="6"/>
        <v>702</v>
      </c>
      <c r="Q9" s="381">
        <f t="shared" si="7"/>
        <v>3631</v>
      </c>
      <c r="R9" s="148">
        <f t="shared" si="1"/>
        <v>7497</v>
      </c>
      <c r="S9" s="308">
        <f t="shared" si="2"/>
        <v>4.3665211953500382E-3</v>
      </c>
      <c r="T9" s="381">
        <f t="shared" si="3"/>
        <v>0</v>
      </c>
    </row>
    <row r="10" spans="1:20" s="148" customFormat="1" ht="12.75" customHeight="1">
      <c r="A10" s="347" t="s">
        <v>14</v>
      </c>
      <c r="B10" s="379">
        <v>379</v>
      </c>
      <c r="C10" s="379">
        <v>30</v>
      </c>
      <c r="D10" s="379">
        <v>22</v>
      </c>
      <c r="E10" s="380">
        <v>2208</v>
      </c>
      <c r="F10" s="380">
        <v>1025</v>
      </c>
      <c r="G10" s="380">
        <v>15217</v>
      </c>
      <c r="H10" s="380">
        <v>1903</v>
      </c>
      <c r="I10" s="379">
        <v>139</v>
      </c>
      <c r="J10" s="379">
        <v>199</v>
      </c>
      <c r="K10" s="379">
        <v>219</v>
      </c>
      <c r="L10" s="386">
        <v>21340</v>
      </c>
      <c r="M10" s="148">
        <f t="shared" si="4"/>
        <v>21341</v>
      </c>
      <c r="N10" s="381">
        <f t="shared" si="0"/>
        <v>-1</v>
      </c>
      <c r="O10" s="381">
        <f t="shared" si="5"/>
        <v>401</v>
      </c>
      <c r="P10" s="381">
        <f t="shared" si="6"/>
        <v>3263</v>
      </c>
      <c r="Q10" s="381">
        <f t="shared" si="7"/>
        <v>17677</v>
      </c>
      <c r="R10" s="148">
        <f t="shared" si="1"/>
        <v>31476</v>
      </c>
      <c r="S10" s="308">
        <f t="shared" si="2"/>
        <v>1.833274925234598E-2</v>
      </c>
      <c r="T10" s="381">
        <f t="shared" si="3"/>
        <v>1</v>
      </c>
    </row>
    <row r="11" spans="1:20" s="148" customFormat="1" ht="12.75" customHeight="1">
      <c r="A11" s="347" t="s">
        <v>44</v>
      </c>
      <c r="B11" s="380">
        <v>1209</v>
      </c>
      <c r="C11" s="382">
        <v>3</v>
      </c>
      <c r="D11" s="379">
        <v>195</v>
      </c>
      <c r="E11" s="380">
        <v>3014</v>
      </c>
      <c r="F11" s="380">
        <v>983</v>
      </c>
      <c r="G11" s="380">
        <v>26059</v>
      </c>
      <c r="H11" s="379">
        <v>190</v>
      </c>
      <c r="I11" s="382">
        <v>23</v>
      </c>
      <c r="J11" s="379">
        <v>510</v>
      </c>
      <c r="K11" s="379">
        <v>166</v>
      </c>
      <c r="L11" s="386">
        <v>32352</v>
      </c>
      <c r="M11" s="148">
        <f t="shared" si="4"/>
        <v>32352</v>
      </c>
      <c r="N11" s="381">
        <f t="shared" si="0"/>
        <v>0</v>
      </c>
      <c r="O11" s="381">
        <f t="shared" si="5"/>
        <v>1404</v>
      </c>
      <c r="P11" s="381">
        <f t="shared" si="6"/>
        <v>4000</v>
      </c>
      <c r="Q11" s="381">
        <f t="shared" si="7"/>
        <v>26948</v>
      </c>
      <c r="R11" s="148">
        <f t="shared" si="1"/>
        <v>52988</v>
      </c>
      <c r="S11" s="308">
        <f t="shared" si="2"/>
        <v>3.0862108189836975E-2</v>
      </c>
      <c r="T11" s="381">
        <f t="shared" si="3"/>
        <v>0</v>
      </c>
    </row>
    <row r="12" spans="1:20" s="148" customFormat="1" ht="12.75" customHeight="1">
      <c r="A12" s="347" t="s">
        <v>63</v>
      </c>
      <c r="B12" s="379">
        <v>873</v>
      </c>
      <c r="C12" s="379">
        <v>12</v>
      </c>
      <c r="D12" s="379">
        <v>50</v>
      </c>
      <c r="E12" s="380">
        <v>3862</v>
      </c>
      <c r="F12" s="380">
        <v>1157</v>
      </c>
      <c r="G12" s="380">
        <v>22712</v>
      </c>
      <c r="H12" s="379">
        <v>110</v>
      </c>
      <c r="I12" s="379">
        <v>60</v>
      </c>
      <c r="J12" s="379">
        <v>0</v>
      </c>
      <c r="K12" s="379">
        <v>166</v>
      </c>
      <c r="L12" s="386">
        <v>29002</v>
      </c>
      <c r="M12" s="148">
        <f t="shared" si="4"/>
        <v>29002</v>
      </c>
      <c r="N12" s="381">
        <f t="shared" si="0"/>
        <v>0</v>
      </c>
      <c r="O12" s="381">
        <f t="shared" si="5"/>
        <v>923</v>
      </c>
      <c r="P12" s="381">
        <f t="shared" si="6"/>
        <v>5031</v>
      </c>
      <c r="Q12" s="381">
        <f t="shared" si="7"/>
        <v>23048</v>
      </c>
      <c r="R12" s="148">
        <f t="shared" si="1"/>
        <v>47371</v>
      </c>
      <c r="S12" s="308">
        <f t="shared" si="2"/>
        <v>2.7590566299176559E-2</v>
      </c>
      <c r="T12" s="381">
        <f t="shared" si="3"/>
        <v>0</v>
      </c>
    </row>
    <row r="13" spans="1:20" s="148" customFormat="1" ht="12.75" customHeight="1">
      <c r="A13" s="347" t="s">
        <v>45</v>
      </c>
      <c r="B13" s="379">
        <v>353</v>
      </c>
      <c r="C13" s="379">
        <v>13</v>
      </c>
      <c r="D13" s="379">
        <v>108</v>
      </c>
      <c r="E13" s="380">
        <v>1584</v>
      </c>
      <c r="F13" s="380">
        <v>1112</v>
      </c>
      <c r="G13" s="380">
        <v>14120</v>
      </c>
      <c r="H13" s="379">
        <v>71</v>
      </c>
      <c r="I13" s="379">
        <v>58</v>
      </c>
      <c r="J13" s="379">
        <v>506</v>
      </c>
      <c r="K13" s="379">
        <v>10</v>
      </c>
      <c r="L13" s="386">
        <v>17934</v>
      </c>
      <c r="M13" s="148">
        <f t="shared" si="4"/>
        <v>17935</v>
      </c>
      <c r="N13" s="381">
        <f t="shared" si="0"/>
        <v>-1</v>
      </c>
      <c r="O13" s="381">
        <f t="shared" si="5"/>
        <v>461</v>
      </c>
      <c r="P13" s="381">
        <f t="shared" si="6"/>
        <v>2709</v>
      </c>
      <c r="Q13" s="381">
        <f t="shared" si="7"/>
        <v>14765</v>
      </c>
      <c r="R13" s="148">
        <f t="shared" si="1"/>
        <v>27502</v>
      </c>
      <c r="S13" s="308">
        <f t="shared" si="2"/>
        <v>1.6018149381688242E-2</v>
      </c>
      <c r="T13" s="381">
        <f t="shared" si="3"/>
        <v>1</v>
      </c>
    </row>
    <row r="14" spans="1:20" s="148" customFormat="1" ht="12.75" customHeight="1">
      <c r="A14" s="347" t="s">
        <v>74</v>
      </c>
      <c r="B14" s="379">
        <v>610</v>
      </c>
      <c r="C14" s="379">
        <v>53</v>
      </c>
      <c r="D14" s="379">
        <v>57</v>
      </c>
      <c r="E14" s="380">
        <v>1845</v>
      </c>
      <c r="F14" s="379">
        <v>711</v>
      </c>
      <c r="G14" s="380">
        <v>10041</v>
      </c>
      <c r="H14" s="379">
        <v>0</v>
      </c>
      <c r="I14" s="379">
        <v>80</v>
      </c>
      <c r="J14" s="379">
        <v>67</v>
      </c>
      <c r="K14" s="379">
        <v>53</v>
      </c>
      <c r="L14" s="386">
        <v>13516</v>
      </c>
      <c r="M14" s="148">
        <f t="shared" si="4"/>
        <v>13517</v>
      </c>
      <c r="N14" s="381">
        <f t="shared" si="0"/>
        <v>-1</v>
      </c>
      <c r="O14" s="381">
        <f t="shared" si="5"/>
        <v>667</v>
      </c>
      <c r="P14" s="381">
        <f t="shared" si="6"/>
        <v>2609</v>
      </c>
      <c r="Q14" s="381">
        <f t="shared" si="7"/>
        <v>10241</v>
      </c>
      <c r="R14" s="148">
        <f t="shared" si="1"/>
        <v>24738</v>
      </c>
      <c r="S14" s="308">
        <f t="shared" si="2"/>
        <v>1.4408296829474355E-2</v>
      </c>
      <c r="T14" s="381">
        <f t="shared" si="3"/>
        <v>1</v>
      </c>
    </row>
    <row r="15" spans="1:20" s="148" customFormat="1" ht="12.75" customHeight="1">
      <c r="A15" s="347" t="s">
        <v>37</v>
      </c>
      <c r="B15" s="380">
        <v>1062</v>
      </c>
      <c r="C15" s="379">
        <v>59</v>
      </c>
      <c r="D15" s="379">
        <v>76</v>
      </c>
      <c r="E15" s="380">
        <v>2959</v>
      </c>
      <c r="F15" s="380">
        <v>1150</v>
      </c>
      <c r="G15" s="380">
        <v>25463</v>
      </c>
      <c r="H15" s="379">
        <v>0</v>
      </c>
      <c r="I15" s="379">
        <v>44</v>
      </c>
      <c r="J15" s="379">
        <v>15</v>
      </c>
      <c r="K15" s="379">
        <v>399</v>
      </c>
      <c r="L15" s="386">
        <v>31228</v>
      </c>
      <c r="M15" s="148">
        <f t="shared" si="4"/>
        <v>31227</v>
      </c>
      <c r="N15" s="381">
        <f t="shared" si="0"/>
        <v>1</v>
      </c>
      <c r="O15" s="381">
        <f t="shared" si="5"/>
        <v>1138</v>
      </c>
      <c r="P15" s="381">
        <f t="shared" si="6"/>
        <v>4168</v>
      </c>
      <c r="Q15" s="381">
        <f t="shared" si="7"/>
        <v>25921</v>
      </c>
      <c r="R15" s="148">
        <f t="shared" si="1"/>
        <v>49805</v>
      </c>
      <c r="S15" s="308">
        <f t="shared" si="2"/>
        <v>2.9008215037269393E-2</v>
      </c>
      <c r="T15" s="381">
        <f t="shared" si="3"/>
        <v>-1</v>
      </c>
    </row>
    <row r="16" spans="1:20" s="148" customFormat="1" ht="12.75" customHeight="1">
      <c r="A16" s="347" t="s">
        <v>38</v>
      </c>
      <c r="B16" s="379">
        <v>492</v>
      </c>
      <c r="C16" s="379">
        <v>30</v>
      </c>
      <c r="D16" s="379">
        <v>61</v>
      </c>
      <c r="E16" s="380">
        <v>1619</v>
      </c>
      <c r="F16" s="379">
        <v>368</v>
      </c>
      <c r="G16" s="380">
        <v>10932</v>
      </c>
      <c r="H16" s="379">
        <v>0</v>
      </c>
      <c r="I16" s="379">
        <v>341</v>
      </c>
      <c r="J16" s="379">
        <v>57</v>
      </c>
      <c r="K16" s="379">
        <v>339</v>
      </c>
      <c r="L16" s="386">
        <v>14238</v>
      </c>
      <c r="M16" s="148">
        <f t="shared" si="4"/>
        <v>14239</v>
      </c>
      <c r="N16" s="381">
        <f t="shared" si="0"/>
        <v>-1</v>
      </c>
      <c r="O16" s="381">
        <f t="shared" si="5"/>
        <v>553</v>
      </c>
      <c r="P16" s="381">
        <f t="shared" si="6"/>
        <v>2017</v>
      </c>
      <c r="Q16" s="381">
        <f t="shared" si="7"/>
        <v>11669</v>
      </c>
      <c r="R16" s="148">
        <f t="shared" si="1"/>
        <v>23250</v>
      </c>
      <c r="S16" s="308">
        <f t="shared" si="2"/>
        <v>1.3541632358528529E-2</v>
      </c>
      <c r="T16" s="381">
        <f t="shared" si="3"/>
        <v>1</v>
      </c>
    </row>
    <row r="17" spans="1:20" s="148" customFormat="1" ht="12.75" customHeight="1">
      <c r="A17" s="347" t="s">
        <v>26</v>
      </c>
      <c r="B17" s="380">
        <v>1000</v>
      </c>
      <c r="C17" s="379">
        <v>15</v>
      </c>
      <c r="D17" s="379">
        <v>116</v>
      </c>
      <c r="E17" s="380">
        <v>2552</v>
      </c>
      <c r="F17" s="380">
        <v>1265</v>
      </c>
      <c r="G17" s="380">
        <v>20465</v>
      </c>
      <c r="H17" s="379">
        <v>0</v>
      </c>
      <c r="I17" s="379">
        <v>547</v>
      </c>
      <c r="J17" s="379">
        <v>12</v>
      </c>
      <c r="K17" s="379">
        <v>60</v>
      </c>
      <c r="L17" s="386">
        <v>26031</v>
      </c>
      <c r="M17" s="148">
        <f t="shared" si="4"/>
        <v>26032</v>
      </c>
      <c r="N17" s="381">
        <f t="shared" si="0"/>
        <v>-1</v>
      </c>
      <c r="O17" s="381">
        <f t="shared" si="5"/>
        <v>1116</v>
      </c>
      <c r="P17" s="381">
        <f t="shared" si="6"/>
        <v>3832</v>
      </c>
      <c r="Q17" s="381">
        <f t="shared" si="7"/>
        <v>21084</v>
      </c>
      <c r="R17" s="148">
        <f t="shared" si="1"/>
        <v>43740</v>
      </c>
      <c r="S17" s="308">
        <f t="shared" si="2"/>
        <v>2.5475741908044639E-2</v>
      </c>
      <c r="T17" s="381">
        <f t="shared" si="3"/>
        <v>1</v>
      </c>
    </row>
    <row r="18" spans="1:20" s="148" customFormat="1" ht="12.75" customHeight="1">
      <c r="A18" s="347" t="s">
        <v>15</v>
      </c>
      <c r="B18" s="380">
        <v>1280</v>
      </c>
      <c r="C18" s="382">
        <v>3</v>
      </c>
      <c r="D18" s="382">
        <v>50</v>
      </c>
      <c r="E18" s="380">
        <v>3743</v>
      </c>
      <c r="F18" s="379">
        <v>765</v>
      </c>
      <c r="G18" s="380">
        <v>20616</v>
      </c>
      <c r="H18" s="379">
        <v>0</v>
      </c>
      <c r="I18" s="379">
        <v>82</v>
      </c>
      <c r="J18" s="379">
        <v>73</v>
      </c>
      <c r="K18" s="379">
        <v>469</v>
      </c>
      <c r="L18" s="386">
        <v>27081</v>
      </c>
      <c r="M18" s="148">
        <f t="shared" si="4"/>
        <v>27081</v>
      </c>
      <c r="N18" s="381">
        <f t="shared" si="0"/>
        <v>0</v>
      </c>
      <c r="O18" s="381">
        <f t="shared" si="5"/>
        <v>1330</v>
      </c>
      <c r="P18" s="381">
        <f t="shared" si="6"/>
        <v>4511</v>
      </c>
      <c r="Q18" s="381">
        <f t="shared" si="7"/>
        <v>21240</v>
      </c>
      <c r="R18" s="148">
        <f t="shared" si="1"/>
        <v>48073</v>
      </c>
      <c r="S18" s="308">
        <f t="shared" si="2"/>
        <v>2.7999436231034062E-2</v>
      </c>
      <c r="T18" s="381">
        <f t="shared" si="3"/>
        <v>0</v>
      </c>
    </row>
    <row r="19" spans="1:20" s="148" customFormat="1" ht="12.75" customHeight="1">
      <c r="A19" s="347" t="s">
        <v>28</v>
      </c>
      <c r="B19" s="380">
        <v>2571</v>
      </c>
      <c r="C19" s="379">
        <v>0</v>
      </c>
      <c r="D19" s="379">
        <v>458</v>
      </c>
      <c r="E19" s="380">
        <v>5527</v>
      </c>
      <c r="F19" s="380">
        <v>1510</v>
      </c>
      <c r="G19" s="380">
        <v>38963</v>
      </c>
      <c r="H19" s="382">
        <v>29</v>
      </c>
      <c r="I19" s="379">
        <v>371</v>
      </c>
      <c r="J19" s="382">
        <v>3</v>
      </c>
      <c r="K19" s="379">
        <v>159</v>
      </c>
      <c r="L19" s="386">
        <v>49591</v>
      </c>
      <c r="M19" s="148">
        <f t="shared" si="4"/>
        <v>49591</v>
      </c>
      <c r="N19" s="381">
        <f t="shared" si="0"/>
        <v>0</v>
      </c>
      <c r="O19" s="381">
        <f t="shared" si="5"/>
        <v>3029</v>
      </c>
      <c r="P19" s="381">
        <f t="shared" si="6"/>
        <v>7037</v>
      </c>
      <c r="Q19" s="381">
        <f t="shared" si="7"/>
        <v>39525</v>
      </c>
      <c r="R19" s="148">
        <f t="shared" si="1"/>
        <v>90926</v>
      </c>
      <c r="S19" s="308">
        <f t="shared" si="2"/>
        <v>5.2958557584153333E-2</v>
      </c>
      <c r="T19" s="381">
        <f t="shared" si="3"/>
        <v>0</v>
      </c>
    </row>
    <row r="20" spans="1:20" s="148" customFormat="1" ht="12.75" customHeight="1">
      <c r="A20" s="347" t="s">
        <v>46</v>
      </c>
      <c r="B20" s="379">
        <v>529</v>
      </c>
      <c r="C20" s="379">
        <v>14</v>
      </c>
      <c r="D20" s="379">
        <v>79</v>
      </c>
      <c r="E20" s="379">
        <v>762</v>
      </c>
      <c r="F20" s="379">
        <v>626</v>
      </c>
      <c r="G20" s="380">
        <v>11282</v>
      </c>
      <c r="H20" s="379">
        <v>0</v>
      </c>
      <c r="I20" s="379">
        <v>24</v>
      </c>
      <c r="J20" s="379">
        <v>177</v>
      </c>
      <c r="K20" s="379">
        <v>82</v>
      </c>
      <c r="L20" s="386">
        <v>13576</v>
      </c>
      <c r="M20" s="148">
        <f t="shared" si="4"/>
        <v>13575</v>
      </c>
      <c r="N20" s="381">
        <f t="shared" si="0"/>
        <v>1</v>
      </c>
      <c r="O20" s="381">
        <f t="shared" si="5"/>
        <v>608</v>
      </c>
      <c r="P20" s="381">
        <f t="shared" si="6"/>
        <v>1402</v>
      </c>
      <c r="Q20" s="381">
        <f t="shared" si="7"/>
        <v>11565</v>
      </c>
      <c r="R20" s="148">
        <f t="shared" si="1"/>
        <v>21851</v>
      </c>
      <c r="S20" s="308">
        <f t="shared" si="2"/>
        <v>1.272680467381535E-2</v>
      </c>
      <c r="T20" s="381">
        <f t="shared" si="3"/>
        <v>-1</v>
      </c>
    </row>
    <row r="21" spans="1:20" s="148" customFormat="1" ht="12.75" customHeight="1">
      <c r="A21" s="347" t="s">
        <v>39</v>
      </c>
      <c r="B21" s="380">
        <v>1146</v>
      </c>
      <c r="C21" s="379">
        <v>19</v>
      </c>
      <c r="D21" s="379">
        <v>309</v>
      </c>
      <c r="E21" s="380">
        <v>2517</v>
      </c>
      <c r="F21" s="380">
        <v>1214</v>
      </c>
      <c r="G21" s="380">
        <v>25305</v>
      </c>
      <c r="H21" s="379">
        <v>0</v>
      </c>
      <c r="I21" s="379">
        <v>451</v>
      </c>
      <c r="J21" s="379">
        <v>0</v>
      </c>
      <c r="K21" s="379">
        <v>201</v>
      </c>
      <c r="L21" s="386">
        <v>31162</v>
      </c>
      <c r="M21" s="148">
        <f t="shared" si="4"/>
        <v>31162</v>
      </c>
      <c r="N21" s="381">
        <f t="shared" si="0"/>
        <v>0</v>
      </c>
      <c r="O21" s="381">
        <f t="shared" si="5"/>
        <v>1455</v>
      </c>
      <c r="P21" s="381">
        <f t="shared" si="6"/>
        <v>3750</v>
      </c>
      <c r="Q21" s="381">
        <f t="shared" si="7"/>
        <v>25957</v>
      </c>
      <c r="R21" s="148">
        <f t="shared" si="1"/>
        <v>51757</v>
      </c>
      <c r="S21" s="308">
        <f t="shared" si="2"/>
        <v>3.0145129719585422E-2</v>
      </c>
      <c r="T21" s="381">
        <f t="shared" si="3"/>
        <v>0</v>
      </c>
    </row>
    <row r="22" spans="1:20" s="148" customFormat="1" ht="12.75" customHeight="1">
      <c r="A22" s="347" t="s">
        <v>29</v>
      </c>
      <c r="B22" s="380">
        <v>1066</v>
      </c>
      <c r="C22" s="379">
        <v>6</v>
      </c>
      <c r="D22" s="379">
        <v>148</v>
      </c>
      <c r="E22" s="380">
        <v>4891</v>
      </c>
      <c r="F22" s="380">
        <v>1086</v>
      </c>
      <c r="G22" s="380">
        <v>30904</v>
      </c>
      <c r="H22" s="379">
        <v>938</v>
      </c>
      <c r="I22" s="380">
        <v>1293</v>
      </c>
      <c r="J22" s="379">
        <v>0</v>
      </c>
      <c r="K22" s="379">
        <v>90</v>
      </c>
      <c r="L22" s="386">
        <v>40423</v>
      </c>
      <c r="M22" s="148">
        <f t="shared" si="4"/>
        <v>40422</v>
      </c>
      <c r="N22" s="381">
        <f t="shared" si="0"/>
        <v>1</v>
      </c>
      <c r="O22" s="381">
        <f t="shared" si="5"/>
        <v>1214</v>
      </c>
      <c r="P22" s="381">
        <f t="shared" si="6"/>
        <v>5983</v>
      </c>
      <c r="Q22" s="381">
        <f t="shared" si="7"/>
        <v>33225</v>
      </c>
      <c r="R22" s="148">
        <f t="shared" si="1"/>
        <v>63314</v>
      </c>
      <c r="S22" s="308">
        <f t="shared" si="2"/>
        <v>3.6876340264424746E-2</v>
      </c>
      <c r="T22" s="381">
        <f t="shared" si="3"/>
        <v>-1</v>
      </c>
    </row>
    <row r="23" spans="1:20" s="148" customFormat="1" ht="12.75" customHeight="1">
      <c r="A23" s="347" t="s">
        <v>16</v>
      </c>
      <c r="B23" s="379">
        <v>242</v>
      </c>
      <c r="C23" s="379">
        <v>0</v>
      </c>
      <c r="D23" s="379">
        <v>9</v>
      </c>
      <c r="E23" s="379">
        <v>665</v>
      </c>
      <c r="F23" s="379">
        <v>110</v>
      </c>
      <c r="G23" s="380">
        <v>7862</v>
      </c>
      <c r="H23" s="379">
        <v>233</v>
      </c>
      <c r="I23" s="379">
        <v>120</v>
      </c>
      <c r="J23" s="379">
        <v>338</v>
      </c>
      <c r="K23" s="379">
        <v>9</v>
      </c>
      <c r="L23" s="386">
        <v>9587</v>
      </c>
      <c r="M23" s="148">
        <f t="shared" si="4"/>
        <v>9588</v>
      </c>
      <c r="N23" s="381">
        <f t="shared" si="0"/>
        <v>-1</v>
      </c>
      <c r="O23" s="381">
        <f t="shared" si="5"/>
        <v>251</v>
      </c>
      <c r="P23" s="381">
        <f t="shared" si="6"/>
        <v>775</v>
      </c>
      <c r="Q23" s="381">
        <f t="shared" si="7"/>
        <v>8562</v>
      </c>
      <c r="R23" s="148">
        <f t="shared" si="1"/>
        <v>13397</v>
      </c>
      <c r="S23" s="308">
        <f t="shared" si="2"/>
        <v>7.8028924175142667E-3</v>
      </c>
      <c r="T23" s="381">
        <f t="shared" si="3"/>
        <v>1</v>
      </c>
    </row>
    <row r="24" spans="1:20" s="148" customFormat="1" ht="12.75" customHeight="1">
      <c r="A24" s="347" t="s">
        <v>30</v>
      </c>
      <c r="B24" s="379">
        <v>637</v>
      </c>
      <c r="C24" s="379">
        <v>0</v>
      </c>
      <c r="D24" s="379">
        <v>41</v>
      </c>
      <c r="E24" s="380">
        <v>1929</v>
      </c>
      <c r="F24" s="379">
        <v>732</v>
      </c>
      <c r="G24" s="380">
        <v>14985</v>
      </c>
      <c r="H24" s="379">
        <v>97</v>
      </c>
      <c r="I24" s="379">
        <v>6</v>
      </c>
      <c r="J24" s="379">
        <v>0</v>
      </c>
      <c r="K24" s="379">
        <v>122</v>
      </c>
      <c r="L24" s="386">
        <v>18548</v>
      </c>
      <c r="M24" s="148">
        <f t="shared" si="4"/>
        <v>18549</v>
      </c>
      <c r="N24" s="381">
        <f t="shared" si="0"/>
        <v>-1</v>
      </c>
      <c r="O24" s="381">
        <f t="shared" si="5"/>
        <v>678</v>
      </c>
      <c r="P24" s="381">
        <f t="shared" si="6"/>
        <v>2661</v>
      </c>
      <c r="Q24" s="381">
        <f t="shared" si="7"/>
        <v>15210</v>
      </c>
      <c r="R24" s="148">
        <f t="shared" si="1"/>
        <v>29973</v>
      </c>
      <c r="S24" s="308">
        <f t="shared" si="2"/>
        <v>1.7457348244394651E-2</v>
      </c>
      <c r="T24" s="381">
        <f t="shared" si="3"/>
        <v>1</v>
      </c>
    </row>
    <row r="25" spans="1:20" s="148" customFormat="1" ht="12.75" customHeight="1">
      <c r="A25" s="347" t="s">
        <v>75</v>
      </c>
      <c r="B25" s="380">
        <v>1318</v>
      </c>
      <c r="C25" s="379">
        <v>0</v>
      </c>
      <c r="D25" s="379">
        <v>170</v>
      </c>
      <c r="E25" s="380">
        <v>2368</v>
      </c>
      <c r="F25" s="379">
        <v>571</v>
      </c>
      <c r="G25" s="380">
        <v>14751</v>
      </c>
      <c r="H25" s="379">
        <v>0</v>
      </c>
      <c r="I25" s="379">
        <v>138</v>
      </c>
      <c r="J25" s="379">
        <v>39</v>
      </c>
      <c r="K25" s="379">
        <v>244</v>
      </c>
      <c r="L25" s="386">
        <v>19600</v>
      </c>
      <c r="M25" s="148">
        <f t="shared" si="4"/>
        <v>19599</v>
      </c>
      <c r="N25" s="381">
        <f t="shared" si="0"/>
        <v>1</v>
      </c>
      <c r="O25" s="381">
        <f t="shared" si="5"/>
        <v>1488</v>
      </c>
      <c r="P25" s="381">
        <f t="shared" si="6"/>
        <v>2939</v>
      </c>
      <c r="Q25" s="381">
        <f t="shared" si="7"/>
        <v>15172</v>
      </c>
      <c r="R25" s="148">
        <f t="shared" si="1"/>
        <v>38869</v>
      </c>
      <c r="S25" s="308">
        <f t="shared" si="2"/>
        <v>2.2638697124457867E-2</v>
      </c>
      <c r="T25" s="381">
        <f t="shared" si="3"/>
        <v>-1</v>
      </c>
    </row>
    <row r="26" spans="1:20" s="148" customFormat="1" ht="12.75" customHeight="1">
      <c r="A26" s="347" t="s">
        <v>32</v>
      </c>
      <c r="B26" s="379">
        <v>112</v>
      </c>
      <c r="C26" s="382">
        <v>2</v>
      </c>
      <c r="D26" s="379">
        <v>21</v>
      </c>
      <c r="E26" s="380">
        <v>1600</v>
      </c>
      <c r="F26" s="379">
        <v>629</v>
      </c>
      <c r="G26" s="380">
        <v>6234</v>
      </c>
      <c r="H26" s="379">
        <v>27</v>
      </c>
      <c r="I26" s="382">
        <v>3</v>
      </c>
      <c r="J26" s="379">
        <v>30</v>
      </c>
      <c r="K26" s="379">
        <v>136</v>
      </c>
      <c r="L26" s="386">
        <v>8794</v>
      </c>
      <c r="M26" s="148">
        <f t="shared" si="4"/>
        <v>8794</v>
      </c>
      <c r="N26" s="381">
        <f t="shared" si="0"/>
        <v>0</v>
      </c>
      <c r="O26" s="381">
        <f t="shared" si="5"/>
        <v>133</v>
      </c>
      <c r="P26" s="381">
        <f t="shared" si="6"/>
        <v>2231</v>
      </c>
      <c r="Q26" s="381">
        <f t="shared" si="7"/>
        <v>6430</v>
      </c>
      <c r="R26" s="148">
        <f t="shared" si="1"/>
        <v>14453</v>
      </c>
      <c r="S26" s="308">
        <f t="shared" si="2"/>
        <v>8.4179446227016265E-3</v>
      </c>
      <c r="T26" s="381">
        <f t="shared" si="3"/>
        <v>0</v>
      </c>
    </row>
    <row r="27" spans="1:20" s="148" customFormat="1" ht="12.75" customHeight="1">
      <c r="A27" s="347" t="s">
        <v>60</v>
      </c>
      <c r="B27" s="379">
        <v>288</v>
      </c>
      <c r="C27" s="382">
        <v>3</v>
      </c>
      <c r="D27" s="382">
        <v>25</v>
      </c>
      <c r="E27" s="380">
        <v>1475</v>
      </c>
      <c r="F27" s="379">
        <v>458</v>
      </c>
      <c r="G27" s="380">
        <v>7955</v>
      </c>
      <c r="H27" s="382">
        <v>3</v>
      </c>
      <c r="I27" s="379">
        <v>475</v>
      </c>
      <c r="J27" s="379">
        <v>182</v>
      </c>
      <c r="K27" s="379">
        <v>65</v>
      </c>
      <c r="L27" s="386">
        <v>10929</v>
      </c>
      <c r="M27" s="148">
        <f t="shared" si="4"/>
        <v>10929</v>
      </c>
      <c r="N27" s="381">
        <f t="shared" si="0"/>
        <v>0</v>
      </c>
      <c r="O27" s="381">
        <f t="shared" si="5"/>
        <v>313</v>
      </c>
      <c r="P27" s="381">
        <f t="shared" si="6"/>
        <v>1936</v>
      </c>
      <c r="Q27" s="381">
        <f t="shared" si="7"/>
        <v>8680</v>
      </c>
      <c r="R27" s="148">
        <f t="shared" si="1"/>
        <v>17618</v>
      </c>
      <c r="S27" s="308">
        <f t="shared" si="2"/>
        <v>1.0261353930862608E-2</v>
      </c>
      <c r="T27" s="381">
        <f t="shared" si="3"/>
        <v>0</v>
      </c>
    </row>
    <row r="28" spans="1:20" s="148" customFormat="1" ht="12.75" customHeight="1">
      <c r="A28" s="347" t="s">
        <v>76</v>
      </c>
      <c r="B28" s="380">
        <v>2698</v>
      </c>
      <c r="C28" s="379">
        <v>54</v>
      </c>
      <c r="D28" s="379">
        <v>412</v>
      </c>
      <c r="E28" s="380">
        <v>8308</v>
      </c>
      <c r="F28" s="380">
        <v>1373</v>
      </c>
      <c r="G28" s="380">
        <v>23316</v>
      </c>
      <c r="H28" s="379">
        <v>46</v>
      </c>
      <c r="I28" s="379">
        <v>268</v>
      </c>
      <c r="J28" s="379">
        <v>33</v>
      </c>
      <c r="K28" s="379">
        <v>336</v>
      </c>
      <c r="L28" s="386">
        <v>36843</v>
      </c>
      <c r="M28" s="148">
        <f t="shared" si="4"/>
        <v>36844</v>
      </c>
      <c r="N28" s="381">
        <f t="shared" si="0"/>
        <v>-1</v>
      </c>
      <c r="O28" s="381">
        <f t="shared" si="5"/>
        <v>3110</v>
      </c>
      <c r="P28" s="381">
        <f t="shared" si="6"/>
        <v>9735</v>
      </c>
      <c r="Q28" s="381">
        <f t="shared" si="7"/>
        <v>23999</v>
      </c>
      <c r="R28" s="148">
        <f t="shared" si="1"/>
        <v>84304</v>
      </c>
      <c r="S28" s="308">
        <f t="shared" si="2"/>
        <v>4.9101667714124261E-2</v>
      </c>
      <c r="T28" s="381">
        <f t="shared" si="3"/>
        <v>1</v>
      </c>
    </row>
    <row r="29" spans="1:20" s="148" customFormat="1" ht="12.75" customHeight="1">
      <c r="A29" s="347" t="s">
        <v>77</v>
      </c>
      <c r="B29" s="379">
        <v>338</v>
      </c>
      <c r="C29" s="382">
        <v>3</v>
      </c>
      <c r="D29" s="379">
        <v>67</v>
      </c>
      <c r="E29" s="380">
        <v>1294</v>
      </c>
      <c r="F29" s="379">
        <v>889</v>
      </c>
      <c r="G29" s="380">
        <v>6754</v>
      </c>
      <c r="H29" s="379">
        <v>0</v>
      </c>
      <c r="I29" s="379">
        <v>244</v>
      </c>
      <c r="J29" s="379">
        <v>213</v>
      </c>
      <c r="K29" s="382">
        <v>27</v>
      </c>
      <c r="L29" s="386">
        <v>9829</v>
      </c>
      <c r="M29" s="148">
        <f t="shared" si="4"/>
        <v>9829</v>
      </c>
      <c r="N29" s="381">
        <f t="shared" si="0"/>
        <v>0</v>
      </c>
      <c r="O29" s="381">
        <f t="shared" si="5"/>
        <v>405</v>
      </c>
      <c r="P29" s="381">
        <f t="shared" si="6"/>
        <v>2186</v>
      </c>
      <c r="Q29" s="381">
        <f t="shared" si="7"/>
        <v>7238</v>
      </c>
      <c r="R29" s="148">
        <f t="shared" si="1"/>
        <v>17846</v>
      </c>
      <c r="S29" s="308">
        <f t="shared" si="2"/>
        <v>1.0394149293346243E-2</v>
      </c>
      <c r="T29" s="381">
        <f t="shared" si="3"/>
        <v>0</v>
      </c>
    </row>
    <row r="30" spans="1:20" s="148" customFormat="1" ht="12.75" customHeight="1">
      <c r="A30" s="347" t="s">
        <v>78</v>
      </c>
      <c r="B30" s="380">
        <v>2548</v>
      </c>
      <c r="C30" s="382">
        <v>3</v>
      </c>
      <c r="D30" s="379">
        <v>398</v>
      </c>
      <c r="E30" s="380">
        <v>5986</v>
      </c>
      <c r="F30" s="379">
        <v>956</v>
      </c>
      <c r="G30" s="380">
        <v>26717</v>
      </c>
      <c r="H30" s="379">
        <v>0</v>
      </c>
      <c r="I30" s="379">
        <v>113</v>
      </c>
      <c r="J30" s="382">
        <v>92</v>
      </c>
      <c r="K30" s="379">
        <v>587</v>
      </c>
      <c r="L30" s="386">
        <v>37400</v>
      </c>
      <c r="M30" s="148">
        <f t="shared" si="4"/>
        <v>37400</v>
      </c>
      <c r="N30" s="381">
        <f t="shared" si="0"/>
        <v>0</v>
      </c>
      <c r="O30" s="381">
        <f t="shared" si="5"/>
        <v>2946</v>
      </c>
      <c r="P30" s="381">
        <f t="shared" si="6"/>
        <v>6945</v>
      </c>
      <c r="Q30" s="381">
        <f t="shared" si="7"/>
        <v>27509</v>
      </c>
      <c r="R30" s="148">
        <f t="shared" si="1"/>
        <v>77804</v>
      </c>
      <c r="S30" s="308">
        <f t="shared" si="2"/>
        <v>4.5315835011739941E-2</v>
      </c>
      <c r="T30" s="381">
        <f t="shared" si="3"/>
        <v>0</v>
      </c>
    </row>
    <row r="31" spans="1:20" s="148" customFormat="1" ht="12.75" customHeight="1">
      <c r="A31" s="347" t="s">
        <v>79</v>
      </c>
      <c r="B31" s="379">
        <v>794</v>
      </c>
      <c r="C31" s="379">
        <v>166</v>
      </c>
      <c r="D31" s="379">
        <v>156</v>
      </c>
      <c r="E31" s="380">
        <v>2317</v>
      </c>
      <c r="F31" s="379">
        <v>406</v>
      </c>
      <c r="G31" s="380">
        <v>18236</v>
      </c>
      <c r="H31" s="379">
        <v>0</v>
      </c>
      <c r="I31" s="379">
        <v>52</v>
      </c>
      <c r="J31" s="380">
        <v>1519</v>
      </c>
      <c r="K31" s="379">
        <v>174</v>
      </c>
      <c r="L31" s="386">
        <v>23820</v>
      </c>
      <c r="M31" s="148">
        <f t="shared" si="4"/>
        <v>23820</v>
      </c>
      <c r="N31" s="381">
        <f t="shared" si="0"/>
        <v>0</v>
      </c>
      <c r="O31" s="381">
        <f t="shared" si="5"/>
        <v>950</v>
      </c>
      <c r="P31" s="381">
        <f t="shared" si="6"/>
        <v>2889</v>
      </c>
      <c r="Q31" s="381">
        <f t="shared" si="7"/>
        <v>19981</v>
      </c>
      <c r="R31" s="148">
        <f t="shared" si="1"/>
        <v>38148</v>
      </c>
      <c r="S31" s="308">
        <f t="shared" si="2"/>
        <v>2.2218760912393391E-2</v>
      </c>
      <c r="T31" s="381">
        <f t="shared" si="3"/>
        <v>0</v>
      </c>
    </row>
    <row r="32" spans="1:20" s="148" customFormat="1" ht="12.75" customHeight="1">
      <c r="A32" s="347" t="s">
        <v>80</v>
      </c>
      <c r="B32" s="379">
        <v>38</v>
      </c>
      <c r="C32" s="379">
        <v>0</v>
      </c>
      <c r="D32" s="379">
        <v>11</v>
      </c>
      <c r="E32" s="379">
        <v>153</v>
      </c>
      <c r="F32" s="379">
        <v>184</v>
      </c>
      <c r="G32" s="380">
        <v>6872</v>
      </c>
      <c r="H32" s="379">
        <v>0</v>
      </c>
      <c r="I32" s="379">
        <v>9</v>
      </c>
      <c r="J32" s="379">
        <v>314</v>
      </c>
      <c r="K32" s="379">
        <v>141</v>
      </c>
      <c r="L32" s="386">
        <v>7722</v>
      </c>
      <c r="M32" s="148">
        <f t="shared" si="4"/>
        <v>7722</v>
      </c>
      <c r="N32" s="381">
        <f t="shared" si="0"/>
        <v>0</v>
      </c>
      <c r="O32" s="381">
        <f t="shared" si="5"/>
        <v>49</v>
      </c>
      <c r="P32" s="381">
        <f t="shared" si="6"/>
        <v>337</v>
      </c>
      <c r="Q32" s="381">
        <f t="shared" si="7"/>
        <v>7336</v>
      </c>
      <c r="R32" s="148">
        <f t="shared" si="1"/>
        <v>8837</v>
      </c>
      <c r="S32" s="308">
        <f t="shared" si="2"/>
        <v>5.1469851678415746E-3</v>
      </c>
      <c r="T32" s="381">
        <f t="shared" si="3"/>
        <v>0</v>
      </c>
    </row>
    <row r="33" spans="1:20" s="148" customFormat="1" ht="12.75" customHeight="1">
      <c r="A33" s="347" t="s">
        <v>81</v>
      </c>
      <c r="B33" s="380">
        <v>2802</v>
      </c>
      <c r="C33" s="379">
        <v>84</v>
      </c>
      <c r="D33" s="379">
        <v>267</v>
      </c>
      <c r="E33" s="380">
        <v>4255</v>
      </c>
      <c r="F33" s="379">
        <v>726</v>
      </c>
      <c r="G33" s="380">
        <v>27501</v>
      </c>
      <c r="H33" s="379">
        <v>129</v>
      </c>
      <c r="I33" s="379">
        <v>160</v>
      </c>
      <c r="J33" s="379">
        <v>47</v>
      </c>
      <c r="K33" s="379">
        <v>319</v>
      </c>
      <c r="L33" s="386">
        <v>36289</v>
      </c>
      <c r="M33" s="148">
        <f t="shared" si="4"/>
        <v>36290</v>
      </c>
      <c r="N33" s="381">
        <f t="shared" si="0"/>
        <v>-1</v>
      </c>
      <c r="O33" s="381">
        <f t="shared" si="5"/>
        <v>3069</v>
      </c>
      <c r="P33" s="381">
        <f t="shared" si="6"/>
        <v>5065</v>
      </c>
      <c r="Q33" s="381">
        <f t="shared" si="7"/>
        <v>28156</v>
      </c>
      <c r="R33" s="148">
        <f t="shared" si="1"/>
        <v>74041</v>
      </c>
      <c r="S33" s="308">
        <f t="shared" si="2"/>
        <v>4.3124129094959607E-2</v>
      </c>
      <c r="T33" s="381">
        <f t="shared" si="3"/>
        <v>1</v>
      </c>
    </row>
    <row r="34" spans="1:20" s="384" customFormat="1" ht="12.75" customHeight="1">
      <c r="A34" s="347" t="s">
        <v>52</v>
      </c>
      <c r="B34" s="379">
        <v>823</v>
      </c>
      <c r="C34" s="379">
        <v>29</v>
      </c>
      <c r="D34" s="379">
        <v>54</v>
      </c>
      <c r="E34" s="380">
        <v>2310</v>
      </c>
      <c r="F34" s="379">
        <v>814</v>
      </c>
      <c r="G34" s="380">
        <v>19703</v>
      </c>
      <c r="H34" s="379">
        <v>131</v>
      </c>
      <c r="I34" s="379">
        <v>65</v>
      </c>
      <c r="J34" s="379">
        <v>343</v>
      </c>
      <c r="K34" s="379">
        <v>161</v>
      </c>
      <c r="L34" s="386">
        <v>24433</v>
      </c>
      <c r="M34" s="148">
        <f t="shared" si="4"/>
        <v>24433</v>
      </c>
      <c r="N34" s="381">
        <f t="shared" si="0"/>
        <v>0</v>
      </c>
      <c r="O34" s="381">
        <f t="shared" si="5"/>
        <v>877</v>
      </c>
      <c r="P34" s="381">
        <f t="shared" si="6"/>
        <v>3153</v>
      </c>
      <c r="Q34" s="381">
        <f t="shared" si="7"/>
        <v>20403</v>
      </c>
      <c r="R34" s="148">
        <f t="shared" si="1"/>
        <v>38632</v>
      </c>
      <c r="S34" s="308">
        <f t="shared" si="2"/>
        <v>2.2500659839770933E-2</v>
      </c>
      <c r="T34" s="381">
        <f t="shared" si="3"/>
        <v>0</v>
      </c>
    </row>
    <row r="35" spans="1:20" s="148" customFormat="1" ht="12.75" customHeight="1">
      <c r="A35" s="347" t="s">
        <v>41</v>
      </c>
      <c r="B35" s="379">
        <v>256</v>
      </c>
      <c r="C35" s="379">
        <v>25</v>
      </c>
      <c r="D35" s="379">
        <v>23</v>
      </c>
      <c r="E35" s="380">
        <v>1814</v>
      </c>
      <c r="F35" s="379">
        <v>753</v>
      </c>
      <c r="G35" s="380">
        <v>8638</v>
      </c>
      <c r="H35" s="379">
        <v>611</v>
      </c>
      <c r="I35" s="379">
        <v>227</v>
      </c>
      <c r="J35" s="379">
        <v>948</v>
      </c>
      <c r="K35" s="379">
        <v>97</v>
      </c>
      <c r="L35" s="386">
        <v>13391</v>
      </c>
      <c r="M35" s="148">
        <f t="shared" si="4"/>
        <v>13392</v>
      </c>
      <c r="N35" s="381">
        <f t="shared" si="0"/>
        <v>-1</v>
      </c>
      <c r="O35" s="381">
        <f t="shared" si="5"/>
        <v>279</v>
      </c>
      <c r="P35" s="381">
        <f t="shared" si="6"/>
        <v>2592</v>
      </c>
      <c r="Q35" s="381">
        <f t="shared" si="7"/>
        <v>10521</v>
      </c>
      <c r="R35" s="148">
        <f t="shared" si="1"/>
        <v>21087</v>
      </c>
      <c r="S35" s="308">
        <f t="shared" si="2"/>
        <v>1.22818237223351E-2</v>
      </c>
      <c r="T35" s="381">
        <f t="shared" si="3"/>
        <v>1</v>
      </c>
    </row>
    <row r="36" spans="1:20" s="148" customFormat="1" ht="12.75" customHeight="1">
      <c r="A36" s="347" t="s">
        <v>82</v>
      </c>
      <c r="B36" s="380">
        <v>2924</v>
      </c>
      <c r="C36" s="379">
        <v>71</v>
      </c>
      <c r="D36" s="379">
        <v>652</v>
      </c>
      <c r="E36" s="380">
        <v>6729</v>
      </c>
      <c r="F36" s="379">
        <v>783</v>
      </c>
      <c r="G36" s="380">
        <v>28037</v>
      </c>
      <c r="H36" s="379">
        <v>0</v>
      </c>
      <c r="I36" s="379">
        <v>97</v>
      </c>
      <c r="J36" s="379">
        <v>5</v>
      </c>
      <c r="K36" s="379">
        <v>365</v>
      </c>
      <c r="L36" s="386">
        <v>39662</v>
      </c>
      <c r="M36" s="148">
        <f t="shared" si="4"/>
        <v>39663</v>
      </c>
      <c r="N36" s="381">
        <f t="shared" si="0"/>
        <v>-1</v>
      </c>
      <c r="O36" s="381">
        <f t="shared" si="5"/>
        <v>3576</v>
      </c>
      <c r="P36" s="381">
        <f t="shared" si="6"/>
        <v>7583</v>
      </c>
      <c r="Q36" s="381">
        <f t="shared" si="7"/>
        <v>28504</v>
      </c>
      <c r="R36" s="148">
        <f t="shared" si="1"/>
        <v>87013</v>
      </c>
      <c r="S36" s="308">
        <f t="shared" si="2"/>
        <v>5.0679486297317979E-2</v>
      </c>
      <c r="T36" s="381">
        <f t="shared" si="3"/>
        <v>1</v>
      </c>
    </row>
    <row r="37" spans="1:20" s="148" customFormat="1" ht="12.75" customHeight="1">
      <c r="A37" s="347" t="s">
        <v>54</v>
      </c>
      <c r="B37" s="379">
        <v>676</v>
      </c>
      <c r="C37" s="379">
        <v>0</v>
      </c>
      <c r="D37" s="379">
        <v>70</v>
      </c>
      <c r="E37" s="380">
        <v>1520</v>
      </c>
      <c r="F37" s="379">
        <v>852</v>
      </c>
      <c r="G37" s="380">
        <v>11797</v>
      </c>
      <c r="H37" s="379">
        <v>472</v>
      </c>
      <c r="I37" s="379">
        <v>528</v>
      </c>
      <c r="J37" s="379">
        <v>481</v>
      </c>
      <c r="K37" s="379">
        <v>16</v>
      </c>
      <c r="L37" s="386">
        <v>16412</v>
      </c>
      <c r="M37" s="148">
        <f t="shared" si="4"/>
        <v>16412</v>
      </c>
      <c r="N37" s="381">
        <f t="shared" si="0"/>
        <v>0</v>
      </c>
      <c r="O37" s="381">
        <f t="shared" si="5"/>
        <v>746</v>
      </c>
      <c r="P37" s="381">
        <f t="shared" si="6"/>
        <v>2372</v>
      </c>
      <c r="Q37" s="381">
        <f t="shared" si="7"/>
        <v>13294</v>
      </c>
      <c r="R37" s="148">
        <f t="shared" si="1"/>
        <v>27870</v>
      </c>
      <c r="S37" s="308">
        <f t="shared" si="2"/>
        <v>1.6232485756223231E-2</v>
      </c>
      <c r="T37" s="381">
        <f t="shared" si="3"/>
        <v>0</v>
      </c>
    </row>
    <row r="38" spans="1:20" s="148" customFormat="1" ht="12.75" customHeight="1">
      <c r="A38" s="347" t="s">
        <v>21</v>
      </c>
      <c r="B38" s="379">
        <v>755</v>
      </c>
      <c r="C38" s="379">
        <v>0</v>
      </c>
      <c r="D38" s="379">
        <v>122</v>
      </c>
      <c r="E38" s="380">
        <v>5073</v>
      </c>
      <c r="F38" s="379">
        <v>870</v>
      </c>
      <c r="G38" s="380">
        <v>18208</v>
      </c>
      <c r="H38" s="379">
        <v>0</v>
      </c>
      <c r="I38" s="379">
        <v>18</v>
      </c>
      <c r="J38" s="379">
        <v>615</v>
      </c>
      <c r="K38" s="379">
        <v>97</v>
      </c>
      <c r="L38" s="386">
        <v>25756</v>
      </c>
      <c r="M38" s="148">
        <f t="shared" si="4"/>
        <v>25758</v>
      </c>
      <c r="N38" s="381">
        <f t="shared" si="0"/>
        <v>-2</v>
      </c>
      <c r="O38" s="381">
        <f t="shared" si="5"/>
        <v>877</v>
      </c>
      <c r="P38" s="381">
        <f t="shared" si="6"/>
        <v>5943</v>
      </c>
      <c r="Q38" s="381">
        <f t="shared" si="7"/>
        <v>18938</v>
      </c>
      <c r="R38" s="148">
        <f t="shared" si="1"/>
        <v>45537</v>
      </c>
      <c r="S38" s="308">
        <f t="shared" si="2"/>
        <v>2.6522379041303813E-2</v>
      </c>
      <c r="T38" s="381">
        <f t="shared" si="3"/>
        <v>2</v>
      </c>
    </row>
    <row r="39" spans="1:20" s="148" customFormat="1" ht="13.5" customHeight="1">
      <c r="A39" s="347" t="s">
        <v>42</v>
      </c>
      <c r="B39" s="379">
        <v>105</v>
      </c>
      <c r="C39" s="379">
        <v>0</v>
      </c>
      <c r="D39" s="379">
        <v>11</v>
      </c>
      <c r="E39" s="379">
        <v>188</v>
      </c>
      <c r="F39" s="379">
        <v>246</v>
      </c>
      <c r="G39" s="380">
        <v>5069</v>
      </c>
      <c r="H39" s="379">
        <v>33</v>
      </c>
      <c r="I39" s="379">
        <v>5</v>
      </c>
      <c r="J39" s="379">
        <v>476</v>
      </c>
      <c r="K39" s="379">
        <v>224</v>
      </c>
      <c r="L39" s="386">
        <v>6357</v>
      </c>
      <c r="M39" s="148">
        <f t="shared" si="4"/>
        <v>6357</v>
      </c>
      <c r="N39" s="381">
        <f t="shared" si="0"/>
        <v>0</v>
      </c>
      <c r="O39" s="381">
        <f t="shared" si="5"/>
        <v>116</v>
      </c>
      <c r="P39" s="381">
        <f t="shared" si="6"/>
        <v>434</v>
      </c>
      <c r="Q39" s="381">
        <f t="shared" si="7"/>
        <v>5807</v>
      </c>
      <c r="R39" s="148">
        <f t="shared" si="1"/>
        <v>8269</v>
      </c>
      <c r="S39" s="308">
        <f t="shared" si="2"/>
        <v>4.8161616332332222E-3</v>
      </c>
      <c r="T39" s="381">
        <f t="shared" si="3"/>
        <v>0</v>
      </c>
    </row>
    <row r="40" spans="1:20" s="148" customFormat="1" ht="12.75" customHeight="1">
      <c r="A40" s="347" t="s">
        <v>83</v>
      </c>
      <c r="B40" s="380">
        <v>1459</v>
      </c>
      <c r="C40" s="382">
        <v>50</v>
      </c>
      <c r="D40" s="379">
        <v>176</v>
      </c>
      <c r="E40" s="380">
        <v>1634</v>
      </c>
      <c r="F40" s="379">
        <v>475</v>
      </c>
      <c r="G40" s="380">
        <v>15789</v>
      </c>
      <c r="H40" s="379">
        <v>0</v>
      </c>
      <c r="I40" s="379">
        <v>114</v>
      </c>
      <c r="J40" s="379">
        <v>103</v>
      </c>
      <c r="K40" s="382">
        <v>3</v>
      </c>
      <c r="L40" s="386">
        <v>19803</v>
      </c>
      <c r="M40" s="148">
        <f t="shared" si="4"/>
        <v>19803</v>
      </c>
      <c r="N40" s="381">
        <f t="shared" si="0"/>
        <v>0</v>
      </c>
      <c r="O40" s="381">
        <f t="shared" si="5"/>
        <v>1635</v>
      </c>
      <c r="P40" s="381">
        <f t="shared" si="6"/>
        <v>2159</v>
      </c>
      <c r="Q40" s="381">
        <f t="shared" si="7"/>
        <v>16009</v>
      </c>
      <c r="R40" s="148">
        <f t="shared" si="1"/>
        <v>38836</v>
      </c>
      <c r="S40" s="308">
        <f t="shared" si="2"/>
        <v>2.2619476743045763E-2</v>
      </c>
      <c r="T40" s="381">
        <f t="shared" si="3"/>
        <v>0</v>
      </c>
    </row>
    <row r="41" spans="1:20" s="148" customFormat="1" ht="12.75" customHeight="1">
      <c r="A41" s="347" t="s">
        <v>22</v>
      </c>
      <c r="B41" s="379">
        <v>619</v>
      </c>
      <c r="C41" s="379">
        <v>0</v>
      </c>
      <c r="D41" s="379">
        <v>58</v>
      </c>
      <c r="E41" s="380">
        <v>3196</v>
      </c>
      <c r="F41" s="379">
        <v>313</v>
      </c>
      <c r="G41" s="380">
        <v>24191</v>
      </c>
      <c r="H41" s="379">
        <v>0</v>
      </c>
      <c r="I41" s="379">
        <v>719</v>
      </c>
      <c r="J41" s="379">
        <v>399</v>
      </c>
      <c r="K41" s="379">
        <v>175</v>
      </c>
      <c r="L41" s="386">
        <v>29670</v>
      </c>
      <c r="M41" s="148">
        <f t="shared" si="4"/>
        <v>29670</v>
      </c>
      <c r="N41" s="381">
        <f t="shared" si="0"/>
        <v>0</v>
      </c>
      <c r="O41" s="381">
        <f t="shared" si="5"/>
        <v>677</v>
      </c>
      <c r="P41" s="381">
        <f t="shared" si="6"/>
        <v>3509</v>
      </c>
      <c r="Q41" s="381">
        <f t="shared" si="7"/>
        <v>25484</v>
      </c>
      <c r="R41" s="148">
        <f t="shared" si="1"/>
        <v>42781</v>
      </c>
      <c r="S41" s="308">
        <f t="shared" si="2"/>
        <v>2.4917185975492862E-2</v>
      </c>
      <c r="T41" s="381">
        <f t="shared" si="3"/>
        <v>0</v>
      </c>
    </row>
    <row r="42" spans="1:20" s="148" customFormat="1" ht="12.75" customHeight="1">
      <c r="A42" s="347" t="s">
        <v>23</v>
      </c>
      <c r="B42" s="380">
        <v>1042</v>
      </c>
      <c r="C42" s="382">
        <v>3</v>
      </c>
      <c r="D42" s="379">
        <v>186</v>
      </c>
      <c r="E42" s="380">
        <v>2978</v>
      </c>
      <c r="F42" s="379">
        <v>772</v>
      </c>
      <c r="G42" s="380">
        <v>15660</v>
      </c>
      <c r="H42" s="379">
        <v>0</v>
      </c>
      <c r="I42" s="382">
        <v>8</v>
      </c>
      <c r="J42" s="383">
        <v>310</v>
      </c>
      <c r="K42" s="379">
        <v>300</v>
      </c>
      <c r="L42" s="386">
        <v>21259</v>
      </c>
      <c r="M42" s="148">
        <f t="shared" si="4"/>
        <v>21259</v>
      </c>
      <c r="N42" s="381">
        <f t="shared" si="0"/>
        <v>0</v>
      </c>
      <c r="O42" s="381">
        <f t="shared" si="5"/>
        <v>1228</v>
      </c>
      <c r="P42" s="381">
        <f t="shared" si="6"/>
        <v>3753</v>
      </c>
      <c r="Q42" s="381">
        <f t="shared" si="7"/>
        <v>16278</v>
      </c>
      <c r="R42" s="148">
        <f t="shared" si="1"/>
        <v>39817</v>
      </c>
      <c r="S42" s="308">
        <f t="shared" si="2"/>
        <v>2.3190846263205611E-2</v>
      </c>
      <c r="T42" s="381">
        <f t="shared" si="3"/>
        <v>0</v>
      </c>
    </row>
    <row r="43" spans="1:20" s="148" customFormat="1" ht="12.75" customHeight="1">
      <c r="A43" s="347" t="s">
        <v>33</v>
      </c>
      <c r="B43" s="379">
        <v>515</v>
      </c>
      <c r="C43" s="379">
        <v>14</v>
      </c>
      <c r="D43" s="379">
        <v>41</v>
      </c>
      <c r="E43" s="380">
        <v>1459</v>
      </c>
      <c r="F43" s="379">
        <v>836</v>
      </c>
      <c r="G43" s="380">
        <v>15089</v>
      </c>
      <c r="H43" s="379">
        <v>13</v>
      </c>
      <c r="I43" s="379">
        <v>16</v>
      </c>
      <c r="J43" s="379">
        <v>295</v>
      </c>
      <c r="K43" s="379">
        <v>96</v>
      </c>
      <c r="L43" s="386">
        <v>18373</v>
      </c>
      <c r="M43" s="148">
        <f t="shared" si="4"/>
        <v>18374</v>
      </c>
      <c r="N43" s="381">
        <f t="shared" si="0"/>
        <v>-1</v>
      </c>
      <c r="O43" s="381">
        <f t="shared" si="5"/>
        <v>556</v>
      </c>
      <c r="P43" s="381">
        <f t="shared" si="6"/>
        <v>2309</v>
      </c>
      <c r="Q43" s="381">
        <f t="shared" si="7"/>
        <v>15509</v>
      </c>
      <c r="R43" s="148">
        <f t="shared" si="1"/>
        <v>27996</v>
      </c>
      <c r="S43" s="308">
        <f t="shared" si="2"/>
        <v>1.6305872667069451E-2</v>
      </c>
      <c r="T43" s="381">
        <f t="shared" si="3"/>
        <v>1</v>
      </c>
    </row>
    <row r="44" spans="1:20" s="148" customFormat="1" ht="12.75" customHeight="1" thickBot="1">
      <c r="A44" s="407" t="s">
        <v>10</v>
      </c>
      <c r="B44" s="259">
        <f>SUM(B5:B43)</f>
        <v>36123</v>
      </c>
      <c r="C44" s="259">
        <f t="shared" ref="C44:K44" si="8">SUM(C5:C43)</f>
        <v>869</v>
      </c>
      <c r="D44" s="259">
        <f t="shared" si="8"/>
        <v>4926</v>
      </c>
      <c r="E44" s="259">
        <f t="shared" si="8"/>
        <v>101182</v>
      </c>
      <c r="F44" s="259">
        <f t="shared" si="8"/>
        <v>30255</v>
      </c>
      <c r="G44" s="259">
        <f t="shared" si="8"/>
        <v>632718</v>
      </c>
      <c r="H44" s="259">
        <f t="shared" si="8"/>
        <v>5264</v>
      </c>
      <c r="I44" s="259">
        <f t="shared" si="8"/>
        <v>7826</v>
      </c>
      <c r="J44" s="259">
        <f t="shared" si="8"/>
        <v>9910</v>
      </c>
      <c r="K44" s="259">
        <f t="shared" si="8"/>
        <v>6921</v>
      </c>
      <c r="L44" s="261">
        <f>SUM(L5:L43)</f>
        <v>835984</v>
      </c>
      <c r="M44" s="259"/>
      <c r="N44" s="259"/>
      <c r="O44" s="259">
        <f>SUM(O5:O43)</f>
        <v>41049</v>
      </c>
      <c r="P44" s="259">
        <f>SUM(P5:P43)</f>
        <v>132306</v>
      </c>
      <c r="Q44" s="259">
        <f>SUM(Q5:Q43)</f>
        <v>662639</v>
      </c>
      <c r="R44" s="259">
        <f>SUM(R5:R43)</f>
        <v>1470047</v>
      </c>
      <c r="S44" s="344">
        <f>SUM(S5:S43)</f>
        <v>0.85620800102184036</v>
      </c>
      <c r="T44" s="259"/>
    </row>
    <row r="45" spans="1:20" s="148" customFormat="1" ht="12.75" customHeight="1">
      <c r="A45" s="182" t="s">
        <v>163</v>
      </c>
      <c r="B45" s="385">
        <f>'Table 4.1 2010'!B44:F44</f>
        <v>34258</v>
      </c>
      <c r="C45" s="385">
        <f>'Table 4.1 2010'!C44:G44</f>
        <v>885</v>
      </c>
      <c r="D45" s="385">
        <f>'Table 4.1 2010'!D44:H44</f>
        <v>5086</v>
      </c>
      <c r="E45" s="385">
        <f>'Table 4.1 2010'!E44:I44</f>
        <v>102742</v>
      </c>
      <c r="F45" s="385">
        <f>'Table 4.1 2010'!F44:J44</f>
        <v>31495</v>
      </c>
      <c r="G45" s="385">
        <f>'Table 4.1 2010'!H44</f>
        <v>613395</v>
      </c>
      <c r="H45" s="385">
        <f>'Table 4.1 2010'!I44</f>
        <v>5160</v>
      </c>
      <c r="I45" s="385">
        <f>'Table 4.1 2010'!J44</f>
        <v>7063</v>
      </c>
      <c r="J45" s="385">
        <f>'Table 4.1 2010'!L44</f>
        <v>9548</v>
      </c>
      <c r="K45" s="385">
        <f>'Table 4.1 2010'!M44</f>
        <v>7409</v>
      </c>
      <c r="L45" s="387">
        <f>'Table 4.1 2010'!N44</f>
        <v>817044</v>
      </c>
      <c r="O45" s="381">
        <f>'Table 4.1 2010'!P44</f>
        <v>39344</v>
      </c>
      <c r="P45" s="381">
        <f>'Table 4.1 2010'!Q44</f>
        <v>135122</v>
      </c>
      <c r="Q45" s="381">
        <f>'Table 4.1 2010'!R44</f>
        <v>642579</v>
      </c>
      <c r="R45" s="381">
        <f>'Table 4.1 2010'!S44</f>
        <v>1441385</v>
      </c>
    </row>
    <row r="46" spans="1:20" ht="12.75" customHeight="1">
      <c r="A46" s="312" t="s">
        <v>302</v>
      </c>
      <c r="B46" s="388">
        <f>(B44-B45)/B45</f>
        <v>5.4439838869753052E-2</v>
      </c>
      <c r="C46" s="388">
        <f t="shared" ref="C46:R46" si="9">(C44-C45)/C45</f>
        <v>-1.8079096045197741E-2</v>
      </c>
      <c r="D46" s="388">
        <f t="shared" si="9"/>
        <v>-3.1458906802988594E-2</v>
      </c>
      <c r="E46" s="388">
        <f t="shared" si="9"/>
        <v>-1.5183663934904907E-2</v>
      </c>
      <c r="F46" s="388">
        <f t="shared" si="9"/>
        <v>-3.9371328782346407E-2</v>
      </c>
      <c r="G46" s="388">
        <f t="shared" si="9"/>
        <v>3.15017240114445E-2</v>
      </c>
      <c r="H46" s="388">
        <f t="shared" si="9"/>
        <v>2.0155038759689922E-2</v>
      </c>
      <c r="I46" s="388">
        <f t="shared" si="9"/>
        <v>0.10802775024777007</v>
      </c>
      <c r="J46" s="388">
        <f t="shared" si="9"/>
        <v>3.7913699204021788E-2</v>
      </c>
      <c r="K46" s="388">
        <f t="shared" si="9"/>
        <v>-6.5865838844648403E-2</v>
      </c>
      <c r="L46" s="389">
        <f t="shared" si="9"/>
        <v>2.3181126108263447E-2</v>
      </c>
      <c r="M46" s="388"/>
      <c r="N46" s="388"/>
      <c r="O46" s="388">
        <f t="shared" si="9"/>
        <v>4.3335705571370474E-2</v>
      </c>
      <c r="P46" s="388">
        <f t="shared" si="9"/>
        <v>-2.0840425689377006E-2</v>
      </c>
      <c r="Q46" s="388">
        <f t="shared" si="9"/>
        <v>3.1217951411421786E-2</v>
      </c>
      <c r="R46" s="388">
        <f t="shared" si="9"/>
        <v>1.9885041123641499E-2</v>
      </c>
    </row>
    <row r="47" spans="1:20" ht="12.75" customHeight="1">
      <c r="A47" s="312"/>
    </row>
    <row r="48" spans="1:20" ht="12.75" customHeight="1">
      <c r="A48" s="395" t="s">
        <v>223</v>
      </c>
    </row>
    <row r="49" spans="1:19" ht="12.75" customHeight="1">
      <c r="A49" s="316" t="str">
        <f>'NZ EFT08-2011'!$B$54</f>
        <v>Auckland University of Technology</v>
      </c>
      <c r="L49" s="499">
        <f>SUM(O49:Q49)</f>
        <v>18196.824500000002</v>
      </c>
      <c r="O49" s="396">
        <f>'NZ EFT.35 2006-13'!Q219</f>
        <v>349.79100000000005</v>
      </c>
      <c r="P49" s="396">
        <f>'NZ EFT.35 2006-13'!R219</f>
        <v>2418.1954000000001</v>
      </c>
      <c r="Q49" s="396">
        <f>'NZ EFT.35 2006-13'!S219</f>
        <v>15428.838100000003</v>
      </c>
      <c r="R49" s="396">
        <f>'NZ EFT.35 2006-13'!T219</f>
        <v>26181.334300000002</v>
      </c>
      <c r="S49" s="308">
        <f t="shared" ref="S49:S56" si="10">SUM(R49/($R$44+$R$57))</f>
        <v>1.5248946397691738E-2</v>
      </c>
    </row>
    <row r="50" spans="1:19" ht="12.75" customHeight="1">
      <c r="A50" s="316" t="str">
        <f>'NZ EFT08-2011'!$B$40</f>
        <v>Lincoln University</v>
      </c>
      <c r="L50" s="499">
        <f t="shared" ref="L50:L55" si="11">SUM(O50:Q50)</f>
        <v>3301.0978999999998</v>
      </c>
      <c r="O50" s="396">
        <f>'NZ EFT.35 2006-13'!Q165</f>
        <v>220.91609999999997</v>
      </c>
      <c r="P50" s="396">
        <f>'NZ EFT.35 2006-13'!R165</f>
        <v>305.45429999999999</v>
      </c>
      <c r="Q50" s="396">
        <f>'NZ EFT.35 2006-13'!S165</f>
        <v>2774.7275</v>
      </c>
      <c r="R50" s="396">
        <f>'NZ EFT.35 2006-13'!T165</f>
        <v>5900.2513999999992</v>
      </c>
      <c r="S50" s="308">
        <f t="shared" si="10"/>
        <v>3.4365176465244408E-3</v>
      </c>
    </row>
    <row r="51" spans="1:19" ht="12.75" customHeight="1">
      <c r="A51" s="316" t="str">
        <f>'NZ EFT08-2011'!$B$19</f>
        <v>Massey University</v>
      </c>
      <c r="L51" s="499">
        <f t="shared" si="11"/>
        <v>19237.628999999979</v>
      </c>
      <c r="O51" s="396">
        <f>'NZ EFT.35 2006-13'!Q84</f>
        <v>1222.1313999999998</v>
      </c>
      <c r="P51" s="396">
        <f>'NZ EFT.35 2006-13'!R84</f>
        <v>5751.4704000000002</v>
      </c>
      <c r="Q51" s="396">
        <f>'NZ EFT.35 2006-13'!S84</f>
        <v>12264.027199999977</v>
      </c>
      <c r="R51" s="396">
        <f>'NZ EFT.35 2006-13'!T84</f>
        <v>41739.752399999976</v>
      </c>
      <c r="S51" s="308">
        <f t="shared" si="10"/>
        <v>2.4310726096206818E-2</v>
      </c>
    </row>
    <row r="52" spans="1:19" ht="12.75" customHeight="1">
      <c r="A52" s="316" t="str">
        <f>'NZ EFT08-2011'!$B$5</f>
        <v>University of Auckland</v>
      </c>
      <c r="L52" s="499">
        <f t="shared" si="11"/>
        <v>32121.859199999977</v>
      </c>
      <c r="O52" s="396">
        <f>'NZ EFT.35 2006-13'!Q30</f>
        <v>1587.1396999999999</v>
      </c>
      <c r="P52" s="396">
        <f>'NZ EFT.35 2006-13'!R30</f>
        <v>7829.6075000000055</v>
      </c>
      <c r="Q52" s="396">
        <f>'NZ EFT.35 2006-13'!S30</f>
        <v>22705.111999999972</v>
      </c>
      <c r="R52" s="396">
        <f>'NZ EFT.35 2006-13'!T30</f>
        <v>62065.331499999986</v>
      </c>
      <c r="S52" s="308">
        <f t="shared" si="10"/>
        <v>3.61490710272344E-2</v>
      </c>
    </row>
    <row r="53" spans="1:19" ht="12.75" customHeight="1">
      <c r="A53" s="316" t="str">
        <f>'NZ EFT08-2011'!$B$33</f>
        <v>University of Canterbury</v>
      </c>
      <c r="L53" s="499">
        <f t="shared" si="11"/>
        <v>13486.67</v>
      </c>
      <c r="O53" s="396">
        <f>'NZ EFT.35 2006-13'!Q138</f>
        <v>701.24080000000004</v>
      </c>
      <c r="P53" s="396">
        <f>'NZ EFT.35 2006-13'!R138</f>
        <v>4023.8489</v>
      </c>
      <c r="Q53" s="396">
        <f>'NZ EFT.35 2006-13'!S138</f>
        <v>8761.5802999999996</v>
      </c>
      <c r="R53" s="396">
        <f>'NZ EFT.35 2006-13'!T138</f>
        <v>27845.534999999996</v>
      </c>
      <c r="S53" s="308">
        <f t="shared" si="10"/>
        <v>1.6218236464367253E-2</v>
      </c>
    </row>
    <row r="54" spans="1:19" ht="12.75" customHeight="1">
      <c r="A54" s="316" t="str">
        <f>'NZ EFT08-2011'!$B$47</f>
        <v>University of Otago</v>
      </c>
      <c r="L54" s="499">
        <f t="shared" si="11"/>
        <v>19532.005600000015</v>
      </c>
      <c r="O54" s="396">
        <f>'NZ EFT.35 2006-13'!Q192</f>
        <v>1085.7249999999999</v>
      </c>
      <c r="P54" s="396">
        <f>'NZ EFT.35 2006-13'!R192</f>
        <v>2850.5645</v>
      </c>
      <c r="Q54" s="396">
        <f>'NZ EFT.35 2006-13'!S192</f>
        <v>15595.716100000016</v>
      </c>
      <c r="R54" s="396">
        <f>'NZ EFT.35 2006-13'!T192</f>
        <v>35004.659600000014</v>
      </c>
      <c r="S54" s="308">
        <f t="shared" si="10"/>
        <v>2.0387966930694043E-2</v>
      </c>
    </row>
    <row r="55" spans="1:19" ht="12.75" customHeight="1">
      <c r="A55" s="316" t="str">
        <f>'NZ EFT08-2011'!$B$12</f>
        <v>University of Waikato</v>
      </c>
      <c r="L55" s="499">
        <f t="shared" si="11"/>
        <v>10104.203099999959</v>
      </c>
      <c r="O55" s="396">
        <f>'NZ EFT.35 2006-13'!Q57</f>
        <v>488.17139999999995</v>
      </c>
      <c r="P55" s="396">
        <f>'NZ EFT.35 2006-13'!R57</f>
        <v>1959.3556000000001</v>
      </c>
      <c r="Q55" s="396">
        <f>'NZ EFT.35 2006-13'!S57</f>
        <v>7656.6760999999578</v>
      </c>
      <c r="R55" s="396">
        <f>'NZ EFT.35 2006-13'!T57</f>
        <v>18416.456899999957</v>
      </c>
      <c r="S55" s="308">
        <f t="shared" si="10"/>
        <v>1.0726403814472492E-2</v>
      </c>
    </row>
    <row r="56" spans="1:19" ht="12.75" customHeight="1">
      <c r="A56" s="316" t="str">
        <f>'NZ EFT08-2011'!$B$26</f>
        <v>Victoria University of Wellington</v>
      </c>
      <c r="L56" s="499">
        <f>SUM(O56:Q56)</f>
        <v>17373.779999999933</v>
      </c>
      <c r="O56" s="396">
        <f>'NZ EFT.35 2006-13'!Q111</f>
        <v>768.38590000000022</v>
      </c>
      <c r="P56" s="396">
        <f>'NZ EFT.35 2006-13'!R111</f>
        <v>2718.9263000000001</v>
      </c>
      <c r="Q56" s="396">
        <f>'NZ EFT.35 2006-13'!S111</f>
        <v>13886.467799999933</v>
      </c>
      <c r="R56" s="396">
        <f>'NZ EFT.35 2006-13'!T111</f>
        <v>29727.105699999935</v>
      </c>
      <c r="S56" s="308">
        <f t="shared" si="10"/>
        <v>1.7314130600968473E-2</v>
      </c>
    </row>
    <row r="57" spans="1:19" ht="12" thickBot="1">
      <c r="A57" s="407" t="s">
        <v>134</v>
      </c>
      <c r="B57" s="491"/>
      <c r="C57" s="491"/>
      <c r="D57" s="491"/>
      <c r="E57" s="491"/>
      <c r="F57" s="491"/>
      <c r="G57" s="491"/>
      <c r="H57" s="491"/>
      <c r="I57" s="491"/>
      <c r="J57" s="491"/>
      <c r="K57" s="491"/>
      <c r="L57" s="259">
        <f>SUM(L49:L56)</f>
        <v>133354.06929999986</v>
      </c>
      <c r="M57" s="492"/>
      <c r="N57" s="492"/>
      <c r="O57" s="259">
        <f>SUM(O49:O56)</f>
        <v>6423.5012999999999</v>
      </c>
      <c r="P57" s="259">
        <f>SUM(P49:P56)</f>
        <v>27857.422900000005</v>
      </c>
      <c r="Q57" s="259">
        <f>SUM(Q49:Q56)</f>
        <v>99073.145099999849</v>
      </c>
      <c r="R57" s="259">
        <f>SUM(R49:R56)</f>
        <v>246880.42679999987</v>
      </c>
      <c r="S57" s="344">
        <f>SUM(S49:S56)</f>
        <v>0.14379199897815967</v>
      </c>
    </row>
    <row r="59" spans="1:19">
      <c r="A59" s="316" t="s">
        <v>132</v>
      </c>
      <c r="L59" s="518">
        <f>L44+L57</f>
        <v>969338.06929999986</v>
      </c>
      <c r="M59" s="518"/>
      <c r="N59" s="518"/>
      <c r="O59" s="518">
        <f>O44+O57</f>
        <v>47472.501300000004</v>
      </c>
      <c r="P59" s="518">
        <f>P44+P57</f>
        <v>160163.42290000001</v>
      </c>
      <c r="Q59" s="518">
        <f>Q44+Q57</f>
        <v>761712.14509999985</v>
      </c>
      <c r="R59" s="518">
        <f>R44+R57</f>
        <v>1716927.4267999998</v>
      </c>
      <c r="S59" s="519">
        <f>S44+S57</f>
        <v>1</v>
      </c>
    </row>
  </sheetData>
  <autoFilter ref="A4:T4" xr:uid="{00000000-0009-0000-0000-000011000000}"/>
  <mergeCells count="1">
    <mergeCell ref="A2:L2"/>
  </mergeCells>
  <hyperlinks>
    <hyperlink ref="A1" location="Index!A1" display="&lt; Back to Index &gt;" xr:uid="{00000000-0004-0000-1100-000000000000}"/>
    <hyperlink ref="T1" location="'Ave weight 1996-2013'!A1" display="Ave weight 1996-2013" xr:uid="{00000000-0004-0000-1100-000001000000}"/>
  </hyperlinks>
  <pageMargins left="0.39370078740157483" right="0.31496062992125984" top="0.59055118110236227" bottom="0.39370078740157483" header="0" footer="0"/>
  <pageSetup scale="6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8330F-3EBC-424B-8761-E7094EE5C890}">
  <dimension ref="A1:L49"/>
  <sheetViews>
    <sheetView tabSelected="1" workbookViewId="0">
      <selection activeCell="A2" sqref="A2"/>
    </sheetView>
  </sheetViews>
  <sheetFormatPr defaultColWidth="9.140625" defaultRowHeight="12.75"/>
  <cols>
    <col min="1" max="1" width="30.85546875" style="710" bestFit="1" customWidth="1"/>
    <col min="2" max="2" width="9.85546875" style="683" customWidth="1"/>
    <col min="3" max="4" width="10.140625" style="683" customWidth="1"/>
    <col min="5" max="5" width="8" style="684" customWidth="1"/>
    <col min="6" max="6" width="8.42578125" style="684" customWidth="1"/>
    <col min="7" max="16384" width="9.140625" style="685"/>
  </cols>
  <sheetData>
    <row r="1" spans="1:12">
      <c r="A1" s="187" t="s">
        <v>286</v>
      </c>
    </row>
    <row r="2" spans="1:12" s="687" customFormat="1" ht="38.25">
      <c r="A2" s="686"/>
      <c r="B2" s="687" t="s">
        <v>349</v>
      </c>
      <c r="C2" s="687" t="s">
        <v>360</v>
      </c>
      <c r="D2" s="687" t="s">
        <v>361</v>
      </c>
      <c r="E2" s="688" t="s">
        <v>337</v>
      </c>
      <c r="F2" s="688" t="s">
        <v>338</v>
      </c>
      <c r="H2" s="689"/>
      <c r="I2" s="689"/>
      <c r="J2" s="689"/>
      <c r="K2" s="689"/>
      <c r="L2" s="689"/>
    </row>
    <row r="3" spans="1:12">
      <c r="A3" s="690" t="s">
        <v>28</v>
      </c>
      <c r="B3" s="691">
        <f>'Table 4.1 2019'!R20</f>
        <v>6.3508807832733077E-2</v>
      </c>
      <c r="C3" s="691">
        <f>'Table 4.1 2020'!R20</f>
        <v>6.2888271760674241E-2</v>
      </c>
      <c r="D3" s="691">
        <f>(B3+C3)/2</f>
        <v>6.3198539796703659E-2</v>
      </c>
      <c r="E3" s="717">
        <v>7</v>
      </c>
      <c r="F3" s="713">
        <v>5</v>
      </c>
    </row>
    <row r="4" spans="1:12">
      <c r="A4" s="690" t="s">
        <v>76</v>
      </c>
      <c r="B4" s="691">
        <f>'Table 4.1 2019'!R28</f>
        <v>6.0560704094354004E-2</v>
      </c>
      <c r="C4" s="691">
        <f>'Table 4.1 2020'!R28</f>
        <v>5.8022103037654857E-2</v>
      </c>
      <c r="D4" s="691">
        <f t="shared" ref="D3:D49" si="0">(B4+C4)/2</f>
        <v>5.929140356600443E-2</v>
      </c>
      <c r="E4" s="717"/>
      <c r="F4" s="713"/>
    </row>
    <row r="5" spans="1:12">
      <c r="A5" s="690" t="s">
        <v>82</v>
      </c>
      <c r="B5" s="691">
        <f>'Table 4.1 2019'!R36</f>
        <v>5.4754889837278442E-2</v>
      </c>
      <c r="C5" s="691">
        <f>'Table 4.1 2020'!R36</f>
        <v>5.536651737046281E-2</v>
      </c>
      <c r="D5" s="691">
        <f t="shared" si="0"/>
        <v>5.5060703603870623E-2</v>
      </c>
      <c r="E5" s="717"/>
      <c r="F5" s="713"/>
    </row>
    <row r="6" spans="1:12">
      <c r="A6" s="690" t="s">
        <v>78</v>
      </c>
      <c r="B6" s="691">
        <f>'Table 4.1 2019'!R30</f>
        <v>4.2657799260060372E-2</v>
      </c>
      <c r="C6" s="691">
        <f>'Table 4.1 2020'!R30</f>
        <v>4.4200954986775599E-2</v>
      </c>
      <c r="D6" s="691">
        <f t="shared" si="0"/>
        <v>4.3429377123417989E-2</v>
      </c>
      <c r="E6" s="717"/>
      <c r="F6" s="713"/>
    </row>
    <row r="7" spans="1:12">
      <c r="A7" s="690" t="s">
        <v>81</v>
      </c>
      <c r="B7" s="691">
        <f>'Table 4.1 2019'!R33</f>
        <v>4.4181177378569102E-2</v>
      </c>
      <c r="C7" s="691">
        <f>'Table 4.1 2020'!R33</f>
        <v>4.4433231454423072E-2</v>
      </c>
      <c r="D7" s="691">
        <f t="shared" si="0"/>
        <v>4.430720441649609E-2</v>
      </c>
      <c r="E7" s="717"/>
      <c r="F7" s="713"/>
    </row>
    <row r="8" spans="1:12">
      <c r="A8" s="690" t="s">
        <v>29</v>
      </c>
      <c r="B8" s="691">
        <f>'Table 4.1 2019'!R23</f>
        <v>4.0297022025202731E-2</v>
      </c>
      <c r="C8" s="691">
        <f>'Table 4.1 2020'!R23</f>
        <v>4.0132160189768479E-2</v>
      </c>
      <c r="D8" s="691">
        <f t="shared" si="0"/>
        <v>4.0214591107485605E-2</v>
      </c>
      <c r="E8" s="742"/>
      <c r="F8" s="742"/>
    </row>
    <row r="9" spans="1:12">
      <c r="A9" s="692" t="s">
        <v>63</v>
      </c>
      <c r="B9" s="693">
        <f>'Table 4.1 2019'!R12</f>
        <v>3.4775694043270362E-2</v>
      </c>
      <c r="C9" s="693">
        <f>'Table 4.1 2020'!R12</f>
        <v>3.5825503118276668E-2</v>
      </c>
      <c r="D9" s="693">
        <f t="shared" si="0"/>
        <v>3.5300598580773515E-2</v>
      </c>
      <c r="E9" s="718">
        <v>6</v>
      </c>
      <c r="F9" s="713">
        <v>4</v>
      </c>
    </row>
    <row r="10" spans="1:12">
      <c r="A10" s="692" t="s">
        <v>112</v>
      </c>
      <c r="B10" s="693">
        <f>'Table 4.1 2019'!R52</f>
        <v>3.3596911396749606E-2</v>
      </c>
      <c r="C10" s="693">
        <f>'Table 4.1 2020'!R52</f>
        <v>3.4231686234058339E-2</v>
      </c>
      <c r="D10" s="693">
        <f t="shared" si="0"/>
        <v>3.3914298815403976E-2</v>
      </c>
      <c r="E10" s="742"/>
      <c r="F10" s="742"/>
    </row>
    <row r="11" spans="1:12">
      <c r="A11" s="694" t="s">
        <v>321</v>
      </c>
      <c r="B11" s="695">
        <f>'Table 4.1 2019'!R38</f>
        <v>2.8970797483856552E-2</v>
      </c>
      <c r="C11" s="695">
        <f>'Table 4.1 2020'!R38</f>
        <v>2.9220752017174494E-2</v>
      </c>
      <c r="D11" s="695">
        <f t="shared" si="0"/>
        <v>2.9095774750515523E-2</v>
      </c>
      <c r="E11" s="719">
        <v>5</v>
      </c>
      <c r="F11" s="713">
        <v>3</v>
      </c>
    </row>
    <row r="12" spans="1:12">
      <c r="A12" s="694" t="s">
        <v>39</v>
      </c>
      <c r="B12" s="695">
        <f>'Table 4.1 2019'!R22</f>
        <v>2.9063026098862653E-2</v>
      </c>
      <c r="C12" s="695">
        <f>'Table 4.1 2020'!R22</f>
        <v>2.8743165532592718E-2</v>
      </c>
      <c r="D12" s="695">
        <f t="shared" si="0"/>
        <v>2.8903095815727683E-2</v>
      </c>
      <c r="E12" s="719"/>
      <c r="F12" s="713"/>
    </row>
    <row r="13" spans="1:12">
      <c r="A13" s="694" t="s">
        <v>37</v>
      </c>
      <c r="B13" s="695">
        <f>'Table 4.1 2019'!R16</f>
        <v>2.7943434951524914E-2</v>
      </c>
      <c r="C13" s="695">
        <f>'Table 4.1 2020'!R16</f>
        <v>2.8474115836600256E-2</v>
      </c>
      <c r="D13" s="695">
        <f t="shared" si="0"/>
        <v>2.8208775394062587E-2</v>
      </c>
      <c r="E13" s="719"/>
      <c r="F13" s="713"/>
    </row>
    <row r="14" spans="1:12">
      <c r="A14" s="694" t="s">
        <v>15</v>
      </c>
      <c r="B14" s="695">
        <f>'Table 4.1 2019'!R19</f>
        <v>2.6241105788974504E-2</v>
      </c>
      <c r="C14" s="695">
        <f>'Table 4.1 2020'!R19</f>
        <v>2.5643508221842179E-2</v>
      </c>
      <c r="D14" s="695">
        <f t="shared" si="0"/>
        <v>2.5942307005408342E-2</v>
      </c>
      <c r="E14" s="719"/>
      <c r="F14" s="713"/>
    </row>
    <row r="15" spans="1:12">
      <c r="A15" s="696" t="s">
        <v>322</v>
      </c>
      <c r="B15" s="695">
        <f>'Table 4.1 2019'!R43</f>
        <v>2.5582657716667272E-2</v>
      </c>
      <c r="C15" s="695">
        <f>'Table 4.1 2020'!R43</f>
        <v>2.5487571114303297E-2</v>
      </c>
      <c r="D15" s="695">
        <f t="shared" si="0"/>
        <v>2.5535114415485283E-2</v>
      </c>
      <c r="E15" s="719"/>
      <c r="F15" s="713"/>
    </row>
    <row r="16" spans="1:12">
      <c r="A16" s="694" t="s">
        <v>336</v>
      </c>
      <c r="B16" s="695">
        <f>'Table 4.1 2019'!R11</f>
        <v>2.4841616854802333E-2</v>
      </c>
      <c r="C16" s="695">
        <f>'Table 4.1 2020'!R11</f>
        <v>2.5279965293520185E-2</v>
      </c>
      <c r="D16" s="695">
        <f t="shared" si="0"/>
        <v>2.5060791074161259E-2</v>
      </c>
      <c r="E16" s="719"/>
      <c r="F16" s="713"/>
    </row>
    <row r="17" spans="1:6">
      <c r="A17" s="698" t="s">
        <v>84</v>
      </c>
      <c r="B17" s="700">
        <f>'Table 4.1 2019'!R6</f>
        <v>2.3346687363807933E-2</v>
      </c>
      <c r="C17" s="700">
        <f>'Table 4.1 2020'!R6</f>
        <v>2.1260046306338681E-2</v>
      </c>
      <c r="D17" s="700">
        <f t="shared" si="0"/>
        <v>2.2303366835073307E-2</v>
      </c>
      <c r="E17" s="712">
        <v>4</v>
      </c>
      <c r="F17" s="713">
        <v>2</v>
      </c>
    </row>
    <row r="18" spans="1:6">
      <c r="A18" s="698" t="s">
        <v>26</v>
      </c>
      <c r="B18" s="700">
        <f>'Table 4.1 2019'!R18</f>
        <v>2.1613156480757945E-2</v>
      </c>
      <c r="C18" s="700">
        <f>'Table 4.1 2020'!R18</f>
        <v>2.0771753691985577E-2</v>
      </c>
      <c r="D18" s="700">
        <f t="shared" si="0"/>
        <v>2.1192455086371763E-2</v>
      </c>
      <c r="E18" s="712"/>
      <c r="F18" s="742"/>
    </row>
    <row r="19" spans="1:6">
      <c r="A19" s="698" t="s">
        <v>23</v>
      </c>
      <c r="B19" s="700">
        <f>'Table 4.1 2019'!R41</f>
        <v>2.1544329156126526E-2</v>
      </c>
      <c r="C19" s="700">
        <f>'Table 4.1 2020'!R41</f>
        <v>2.0982617900090397E-2</v>
      </c>
      <c r="D19" s="700">
        <f t="shared" si="0"/>
        <v>2.1263473528108461E-2</v>
      </c>
      <c r="E19" s="712"/>
      <c r="F19" s="742"/>
    </row>
    <row r="20" spans="1:6">
      <c r="A20" s="698" t="s">
        <v>75</v>
      </c>
      <c r="B20" s="700">
        <f>'Table 4.1 2019'!R26</f>
        <v>2.0626172645543409E-2</v>
      </c>
      <c r="C20" s="700">
        <f>'Table 4.1 2020'!R26</f>
        <v>2.1745080533370077E-2</v>
      </c>
      <c r="D20" s="700">
        <f t="shared" si="0"/>
        <v>2.1185626589456743E-2</v>
      </c>
      <c r="E20" s="712"/>
      <c r="F20" s="742"/>
    </row>
    <row r="21" spans="1:6">
      <c r="A21" s="698" t="s">
        <v>83</v>
      </c>
      <c r="B21" s="700">
        <f>'Table 4.1 2019'!R40</f>
        <v>2.0053988153440883E-2</v>
      </c>
      <c r="C21" s="700">
        <f>'Table 4.1 2020'!R40</f>
        <v>2.0191295264818446E-2</v>
      </c>
      <c r="D21" s="700">
        <f t="shared" si="0"/>
        <v>2.0122641709129665E-2</v>
      </c>
      <c r="E21" s="712"/>
      <c r="F21" s="742"/>
    </row>
    <row r="22" spans="1:6">
      <c r="A22" s="698" t="s">
        <v>30</v>
      </c>
      <c r="B22" s="700">
        <f>'Table 4.1 2019'!R25</f>
        <v>2.0116850443270912E-2</v>
      </c>
      <c r="C22" s="700">
        <f>'Table 4.1 2020'!R25</f>
        <v>2.036678269628758E-2</v>
      </c>
      <c r="D22" s="700">
        <f t="shared" si="0"/>
        <v>2.0241816569779247E-2</v>
      </c>
      <c r="E22" s="712"/>
      <c r="F22" s="742"/>
    </row>
    <row r="23" spans="1:6">
      <c r="A23" s="698" t="s">
        <v>79</v>
      </c>
      <c r="B23" s="700">
        <f>'Table 4.1 2019'!R31</f>
        <v>1.9621752554755578E-2</v>
      </c>
      <c r="C23" s="700">
        <f>'Table 4.1 2020'!R31</f>
        <v>2.035933495383796E-2</v>
      </c>
      <c r="D23" s="700">
        <f t="shared" si="0"/>
        <v>1.999054375429677E-2</v>
      </c>
      <c r="E23" s="742"/>
      <c r="F23" s="742"/>
    </row>
    <row r="24" spans="1:6">
      <c r="A24" s="701" t="s">
        <v>14</v>
      </c>
      <c r="B24" s="703">
        <f>'Table 4.1 2019'!R9</f>
        <v>1.8455358826668478E-2</v>
      </c>
      <c r="C24" s="703">
        <f>'Table 4.1 2020'!R9</f>
        <v>1.7306691517300639E-2</v>
      </c>
      <c r="D24" s="703">
        <f t="shared" si="0"/>
        <v>1.788102517198456E-2</v>
      </c>
      <c r="E24" s="715">
        <v>3</v>
      </c>
      <c r="F24" s="742"/>
    </row>
    <row r="25" spans="1:6">
      <c r="A25" s="701" t="s">
        <v>54</v>
      </c>
      <c r="B25" s="703">
        <f>'Table 4.1 2019'!R37</f>
        <v>1.8236487934340569E-2</v>
      </c>
      <c r="C25" s="703">
        <f>'Table 4.1 2020'!R37</f>
        <v>1.94418661808256E-2</v>
      </c>
      <c r="D25" s="703">
        <f t="shared" si="0"/>
        <v>1.8839177057583083E-2</v>
      </c>
      <c r="E25" s="742"/>
      <c r="F25" s="742"/>
    </row>
    <row r="26" spans="1:6">
      <c r="A26" s="701" t="s">
        <v>121</v>
      </c>
      <c r="B26" s="703">
        <f>'Table 4.1 2019'!R51</f>
        <v>1.6559854306319219E-2</v>
      </c>
      <c r="C26" s="703">
        <f>'Table 4.1 2020'!R51</f>
        <v>1.6661996311505552E-2</v>
      </c>
      <c r="D26" s="703">
        <f t="shared" si="0"/>
        <v>1.6610925308912387E-2</v>
      </c>
      <c r="E26" s="742"/>
      <c r="F26" s="742"/>
    </row>
    <row r="27" spans="1:6">
      <c r="A27" s="701" t="s">
        <v>52</v>
      </c>
      <c r="B27" s="703">
        <f>'Table 4.1 2019'!R34</f>
        <v>1.7229773599398358E-2</v>
      </c>
      <c r="C27" s="703">
        <f>'Table 4.1 2020'!R34</f>
        <v>1.8348444492441007E-2</v>
      </c>
      <c r="D27" s="703">
        <f t="shared" si="0"/>
        <v>1.7789109045919682E-2</v>
      </c>
      <c r="E27" s="742"/>
      <c r="F27" s="742"/>
    </row>
    <row r="28" spans="1:6">
      <c r="A28" s="701" t="s">
        <v>125</v>
      </c>
      <c r="B28" s="703">
        <f>'Table 4.1 2019'!R54</f>
        <v>1.603217815081168E-2</v>
      </c>
      <c r="C28" s="703">
        <f>'Table 4.1 2020'!R54</f>
        <v>1.6005664008132935E-2</v>
      </c>
      <c r="D28" s="703">
        <f t="shared" si="0"/>
        <v>1.6018921079472309E-2</v>
      </c>
      <c r="E28" s="742"/>
      <c r="F28" s="742"/>
    </row>
    <row r="29" spans="1:6">
      <c r="A29" s="701" t="s">
        <v>126</v>
      </c>
      <c r="B29" s="703">
        <f>'Table 4.1 2019'!R49</f>
        <v>1.5554975366700514E-2</v>
      </c>
      <c r="C29" s="703">
        <f>'Table 4.1 2020'!R49</f>
        <v>1.5605347851465948E-2</v>
      </c>
      <c r="D29" s="703">
        <f t="shared" si="0"/>
        <v>1.558016160908323E-2</v>
      </c>
      <c r="E29" s="742"/>
      <c r="F29" s="742"/>
    </row>
    <row r="30" spans="1:6">
      <c r="A30" s="701" t="s">
        <v>62</v>
      </c>
      <c r="B30" s="703">
        <f>'Table 4.1 2019'!R5</f>
        <v>1.4867619818048084E-2</v>
      </c>
      <c r="C30" s="703">
        <f>'Table 4.1 2020'!R5</f>
        <v>1.489176102801189E-2</v>
      </c>
      <c r="D30" s="703">
        <f t="shared" si="0"/>
        <v>1.4879690423029987E-2</v>
      </c>
      <c r="E30" s="742"/>
      <c r="F30" s="742"/>
    </row>
    <row r="31" spans="1:6">
      <c r="A31" s="701" t="s">
        <v>123</v>
      </c>
      <c r="B31" s="703">
        <f>'Table 4.1 2019'!R53</f>
        <v>1.4958471886561556E-2</v>
      </c>
      <c r="C31" s="703">
        <f>'Table 4.1 2020'!R53</f>
        <v>1.5328384929120767E-2</v>
      </c>
      <c r="D31" s="703">
        <f t="shared" si="0"/>
        <v>1.5143428407841161E-2</v>
      </c>
      <c r="E31" s="742"/>
      <c r="F31" s="742"/>
    </row>
    <row r="32" spans="1:6">
      <c r="A32" s="704" t="s">
        <v>122</v>
      </c>
      <c r="B32" s="706">
        <f>'Table 4.1 2019'!R56</f>
        <v>1.4648748925720175E-2</v>
      </c>
      <c r="C32" s="706">
        <f>'Table 4.1 2020'!R56</f>
        <v>1.4448620352259599E-2</v>
      </c>
      <c r="D32" s="706">
        <f t="shared" si="0"/>
        <v>1.4548684638989888E-2</v>
      </c>
      <c r="E32" s="716">
        <v>2</v>
      </c>
      <c r="F32" s="713">
        <v>1</v>
      </c>
    </row>
    <row r="33" spans="1:6">
      <c r="A33" s="704" t="s">
        <v>324</v>
      </c>
      <c r="B33" s="706">
        <f>'Table 4.1 2019'!R15</f>
        <v>1.4411982928988097E-2</v>
      </c>
      <c r="C33" s="706">
        <f>'Table 4.1 2020'!R15</f>
        <v>1.4727445210217186E-2</v>
      </c>
      <c r="D33" s="706">
        <f t="shared" si="0"/>
        <v>1.4569714069602641E-2</v>
      </c>
      <c r="E33" s="716"/>
      <c r="F33" s="713"/>
    </row>
    <row r="34" spans="1:6">
      <c r="A34" s="704" t="s">
        <v>45</v>
      </c>
      <c r="B34" s="706">
        <f>'Table 4.1 2019'!R13</f>
        <v>1.4758413796299568E-2</v>
      </c>
      <c r="C34" s="706">
        <f>'Table 4.1 2020'!R13</f>
        <v>1.5807367865411846E-2</v>
      </c>
      <c r="D34" s="706">
        <f t="shared" si="0"/>
        <v>1.5282890830855708E-2</v>
      </c>
      <c r="E34" s="716"/>
      <c r="F34" s="713"/>
    </row>
    <row r="35" spans="1:6">
      <c r="A35" s="704" t="s">
        <v>33</v>
      </c>
      <c r="B35" s="706">
        <f>'Table 4.1 2019'!R42</f>
        <v>1.493920023566476E-2</v>
      </c>
      <c r="C35" s="706">
        <f>'Table 4.1 2020'!R42</f>
        <v>1.4419760350267328E-2</v>
      </c>
      <c r="D35" s="706">
        <f t="shared" si="0"/>
        <v>1.4679480292966044E-2</v>
      </c>
      <c r="E35" s="716"/>
      <c r="F35" s="713"/>
    </row>
    <row r="36" spans="1:6">
      <c r="A36" s="704" t="s">
        <v>323</v>
      </c>
      <c r="B36" s="706">
        <f>'Table 4.1 2019'!R10</f>
        <v>1.4633606914301264E-2</v>
      </c>
      <c r="C36" s="706">
        <f>'Table 4.1 2020'!R10</f>
        <v>1.2829667337273809E-2</v>
      </c>
      <c r="D36" s="706">
        <f t="shared" si="0"/>
        <v>1.3731637125787536E-2</v>
      </c>
      <c r="E36" s="716"/>
      <c r="F36" s="713"/>
    </row>
    <row r="37" spans="1:6">
      <c r="A37" s="704" t="s">
        <v>46</v>
      </c>
      <c r="B37" s="706">
        <f>'Table 4.1 2019'!R21</f>
        <v>1.2595400407549532E-2</v>
      </c>
      <c r="C37" s="706">
        <f>'Table 4.1 2020'!R21</f>
        <v>1.2632302162358923E-2</v>
      </c>
      <c r="D37" s="706">
        <f t="shared" si="0"/>
        <v>1.2613851284954227E-2</v>
      </c>
      <c r="E37" s="716"/>
      <c r="F37" s="713"/>
    </row>
    <row r="38" spans="1:6">
      <c r="A38" s="704" t="s">
        <v>38</v>
      </c>
      <c r="B38" s="706">
        <f>'Table 4.1 2019'!R17</f>
        <v>1.1638241746341942E-2</v>
      </c>
      <c r="C38" s="706">
        <f>'Table 4.1 2020'!R17</f>
        <v>1.1237712388667888E-2</v>
      </c>
      <c r="D38" s="706">
        <f t="shared" si="0"/>
        <v>1.1437977067504915E-2</v>
      </c>
      <c r="E38" s="716"/>
      <c r="F38" s="713"/>
    </row>
    <row r="39" spans="1:6" ht="15">
      <c r="A39" s="704" t="s">
        <v>362</v>
      </c>
      <c r="B39" s="706">
        <f>'Table 4.1 2019'!R14</f>
        <v>1.1483609690336689E-2</v>
      </c>
      <c r="C39" s="706">
        <f>'Table 4.1 2020'!R14</f>
        <v>9.816590032500086E-3</v>
      </c>
      <c r="D39" s="706">
        <f t="shared" si="0"/>
        <v>1.0650099861418388E-2</v>
      </c>
      <c r="E39" s="716"/>
      <c r="F39" s="713"/>
    </row>
    <row r="40" spans="1:6">
      <c r="A40" s="704" t="s">
        <v>41</v>
      </c>
      <c r="B40" s="706">
        <f>'Table 4.1 2019'!R35</f>
        <v>1.0255271370081313E-2</v>
      </c>
      <c r="C40" s="706">
        <f>'Table 4.1 2020'!R35</f>
        <v>1.0823897198810968E-2</v>
      </c>
      <c r="D40" s="706">
        <f t="shared" si="0"/>
        <v>1.0539584284446141E-2</v>
      </c>
      <c r="E40" s="716"/>
      <c r="F40" s="713"/>
    </row>
    <row r="41" spans="1:6">
      <c r="A41" s="704" t="s">
        <v>77</v>
      </c>
      <c r="B41" s="706">
        <f>'Table 4.1 2019'!R29</f>
        <v>1.0508097075894056E-2</v>
      </c>
      <c r="C41" s="706">
        <f>'Table 4.1 2020'!R29</f>
        <v>1.0550192663787494E-2</v>
      </c>
      <c r="D41" s="706">
        <f t="shared" si="0"/>
        <v>1.0529144869840775E-2</v>
      </c>
      <c r="E41" s="716"/>
      <c r="F41" s="713"/>
    </row>
    <row r="42" spans="1:6">
      <c r="A42" s="707" t="s">
        <v>120</v>
      </c>
      <c r="B42" s="709">
        <f>'Table 4.1 2019'!R55</f>
        <v>9.3306909758659289E-3</v>
      </c>
      <c r="C42" s="709">
        <f>'Table 4.1 2020'!R55</f>
        <v>9.2864038668678799E-3</v>
      </c>
      <c r="D42" s="709">
        <f t="shared" si="0"/>
        <v>9.3085474213669035E-3</v>
      </c>
      <c r="E42" s="714">
        <v>1</v>
      </c>
      <c r="F42" s="713"/>
    </row>
    <row r="43" spans="1:6">
      <c r="A43" s="707" t="s">
        <v>16</v>
      </c>
      <c r="B43" s="709">
        <f>'Table 4.1 2019'!R24</f>
        <v>9.2636990465580146E-3</v>
      </c>
      <c r="C43" s="709">
        <f>'Table 4.1 2020'!R24</f>
        <v>8.8199889959605302E-3</v>
      </c>
      <c r="D43" s="709">
        <f t="shared" si="0"/>
        <v>9.0418440212592724E-3</v>
      </c>
      <c r="E43" s="714"/>
      <c r="F43" s="713"/>
    </row>
    <row r="44" spans="1:6">
      <c r="A44" s="707" t="s">
        <v>60</v>
      </c>
      <c r="B44" s="709">
        <f>'Table 4.1 2019'!R27</f>
        <v>8.4932918595170062E-3</v>
      </c>
      <c r="C44" s="709">
        <f>'Table 4.1 2020'!R27</f>
        <v>8.9466006176040433E-3</v>
      </c>
      <c r="D44" s="709">
        <f t="shared" si="0"/>
        <v>8.7199462385605248E-3</v>
      </c>
      <c r="E44" s="714"/>
      <c r="F44" s="713"/>
    </row>
    <row r="45" spans="1:6">
      <c r="A45" s="707" t="s">
        <v>42</v>
      </c>
      <c r="B45" s="709">
        <f>'Table 4.1 2019'!R39</f>
        <v>7.8164898339747272E-3</v>
      </c>
      <c r="C45" s="709">
        <f>'Table 4.1 2020'!R39</f>
        <v>7.4919634204129587E-3</v>
      </c>
      <c r="D45" s="709">
        <f t="shared" si="0"/>
        <v>7.654226627193843E-3</v>
      </c>
      <c r="E45" s="714"/>
      <c r="F45" s="713"/>
    </row>
    <row r="46" spans="1:6">
      <c r="A46" s="707" t="s">
        <v>80</v>
      </c>
      <c r="B46" s="709">
        <f>'Table 4.1 2019'!R32</f>
        <v>6.3555151564651568E-3</v>
      </c>
      <c r="C46" s="709">
        <f>'Table 4.1 2020'!R32</f>
        <v>6.8733353131915347E-3</v>
      </c>
      <c r="D46" s="709">
        <f t="shared" si="0"/>
        <v>6.6144252348283462E-3</v>
      </c>
      <c r="E46" s="714"/>
      <c r="F46" s="713"/>
    </row>
    <row r="47" spans="1:6">
      <c r="A47" s="707" t="s">
        <v>35</v>
      </c>
      <c r="B47" s="709">
        <f>'Table 4.1 2019'!R7</f>
        <v>5.565377469696476E-3</v>
      </c>
      <c r="C47" s="709">
        <f>'Table 4.1 2020'!R7</f>
        <v>5.4261458584500691E-3</v>
      </c>
      <c r="D47" s="709">
        <f t="shared" si="0"/>
        <v>5.4957616640732721E-3</v>
      </c>
      <c r="E47" s="714"/>
      <c r="F47" s="713"/>
    </row>
    <row r="48" spans="1:6">
      <c r="A48" s="707" t="s">
        <v>57</v>
      </c>
      <c r="B48" s="709">
        <f>'Table 4.1 2019'!R8</f>
        <v>4.9234479553007821E-3</v>
      </c>
      <c r="C48" s="709">
        <f>'Table 4.1 2020'!R8</f>
        <v>6.0643242896017413E-3</v>
      </c>
      <c r="D48" s="709">
        <f t="shared" si="0"/>
        <v>5.4938861224512617E-3</v>
      </c>
      <c r="E48" s="714"/>
      <c r="F48" s="713"/>
    </row>
    <row r="49" spans="1:6">
      <c r="A49" s="707" t="s">
        <v>124</v>
      </c>
      <c r="B49" s="709">
        <f>'Table 4.1 2019'!R50</f>
        <v>2.5856131619869439E-3</v>
      </c>
      <c r="C49" s="709">
        <f>'Table 4.1 2020'!R50</f>
        <v>2.5811082426958594E-3</v>
      </c>
      <c r="D49" s="709">
        <f t="shared" si="0"/>
        <v>2.5833607023414019E-3</v>
      </c>
      <c r="E49" s="714"/>
      <c r="F49" s="713"/>
    </row>
  </sheetData>
  <autoFilter ref="A2:D2" xr:uid="{3368FEBE-DCBD-A64C-8796-8E8C346EBDD8}"/>
  <mergeCells count="12">
    <mergeCell ref="F17:F31"/>
    <mergeCell ref="E32:E41"/>
    <mergeCell ref="F32:F49"/>
    <mergeCell ref="E42:E49"/>
    <mergeCell ref="E17:E23"/>
    <mergeCell ref="E24:E31"/>
    <mergeCell ref="E11:E16"/>
    <mergeCell ref="F11:F16"/>
    <mergeCell ref="F9:F10"/>
    <mergeCell ref="E9:E10"/>
    <mergeCell ref="E3:E8"/>
    <mergeCell ref="F3:F8"/>
  </mergeCells>
  <hyperlinks>
    <hyperlink ref="A1" location="Index!A1" display="&lt; Back to Index &gt;" xr:uid="{2DB08FC8-4306-4859-B0B8-2E5E086F26E3}"/>
  </hyperlink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59"/>
  <sheetViews>
    <sheetView showGridLines="0" zoomScaleNormal="100" workbookViewId="0">
      <pane xSplit="1" ySplit="4" topLeftCell="B5" activePane="bottomRight" state="frozen"/>
      <selection pane="topRight" activeCell="B1" sqref="B1"/>
      <selection pane="bottomLeft" activeCell="A5" sqref="A5"/>
      <selection pane="bottomRight" activeCell="L44" sqref="L44"/>
    </sheetView>
  </sheetViews>
  <sheetFormatPr defaultColWidth="9.140625" defaultRowHeight="11.25"/>
  <cols>
    <col min="1" max="1" width="29.7109375" style="394" customWidth="1"/>
    <col min="2" max="2" width="9" style="376" bestFit="1" customWidth="1"/>
    <col min="3" max="3" width="10.7109375" style="376" bestFit="1" customWidth="1"/>
    <col min="4" max="4" width="8.85546875" style="376" bestFit="1" customWidth="1"/>
    <col min="5" max="5" width="10.7109375" style="376" bestFit="1" customWidth="1"/>
    <col min="6" max="6" width="11" style="376" bestFit="1" customWidth="1"/>
    <col min="7" max="7" width="8.28515625" style="376" bestFit="1" customWidth="1"/>
    <col min="8" max="8" width="8.42578125" style="376" bestFit="1" customWidth="1"/>
    <col min="9" max="9" width="12" style="376" bestFit="1" customWidth="1"/>
    <col min="10" max="10" width="8.140625" style="376" customWidth="1"/>
    <col min="11" max="11" width="7.85546875" style="376" bestFit="1" customWidth="1"/>
    <col min="12" max="12" width="9.85546875" style="376" bestFit="1" customWidth="1"/>
    <col min="13" max="13" width="7.28515625" style="376" customWidth="1"/>
    <col min="14" max="14" width="2.42578125" style="376" bestFit="1" customWidth="1"/>
    <col min="15" max="15" width="8.140625" style="376" bestFit="1" customWidth="1"/>
    <col min="16" max="17" width="7.42578125" style="376" bestFit="1" customWidth="1"/>
    <col min="18" max="18" width="10" style="376" customWidth="1"/>
    <col min="19" max="19" width="8.85546875" style="376" bestFit="1" customWidth="1"/>
    <col min="20" max="20" width="6.42578125" style="376" bestFit="1" customWidth="1"/>
    <col min="21" max="16384" width="9.140625" style="376"/>
  </cols>
  <sheetData>
    <row r="1" spans="1:20" ht="12.75">
      <c r="A1" s="288" t="s">
        <v>286</v>
      </c>
      <c r="T1" s="523" t="s">
        <v>304</v>
      </c>
    </row>
    <row r="2" spans="1:20">
      <c r="A2" s="384" t="s">
        <v>158</v>
      </c>
      <c r="B2" s="384"/>
      <c r="C2" s="384"/>
      <c r="D2" s="384"/>
      <c r="E2" s="384"/>
      <c r="F2" s="384"/>
      <c r="G2" s="384"/>
      <c r="H2" s="384"/>
      <c r="I2" s="384"/>
      <c r="J2" s="384"/>
      <c r="K2" s="384"/>
      <c r="L2" s="384"/>
    </row>
    <row r="3" spans="1:20">
      <c r="A3" s="378" t="s">
        <v>159</v>
      </c>
      <c r="B3" s="377"/>
      <c r="C3" s="377"/>
      <c r="D3" s="377"/>
      <c r="E3" s="377"/>
      <c r="F3" s="377"/>
      <c r="G3" s="377"/>
      <c r="H3" s="377"/>
      <c r="I3" s="377"/>
      <c r="J3" s="377"/>
      <c r="K3" s="377"/>
      <c r="L3" s="377"/>
    </row>
    <row r="4" spans="1:20" s="152" customFormat="1" ht="33.75">
      <c r="A4" s="476" t="s">
        <v>71</v>
      </c>
      <c r="B4" s="477" t="s">
        <v>0</v>
      </c>
      <c r="C4" s="477" t="s">
        <v>1</v>
      </c>
      <c r="D4" s="477" t="s">
        <v>2</v>
      </c>
      <c r="E4" s="477" t="s">
        <v>3</v>
      </c>
      <c r="F4" s="477" t="s">
        <v>4</v>
      </c>
      <c r="G4" s="477" t="s">
        <v>5</v>
      </c>
      <c r="H4" s="477" t="s">
        <v>6</v>
      </c>
      <c r="I4" s="477" t="s">
        <v>7</v>
      </c>
      <c r="J4" s="477" t="s">
        <v>8</v>
      </c>
      <c r="K4" s="477" t="s">
        <v>9</v>
      </c>
      <c r="L4" s="458" t="s">
        <v>10</v>
      </c>
      <c r="M4" s="152" t="s">
        <v>237</v>
      </c>
      <c r="N4" s="152" t="s">
        <v>238</v>
      </c>
      <c r="O4" s="438" t="s">
        <v>86</v>
      </c>
      <c r="P4" s="438" t="s">
        <v>87</v>
      </c>
      <c r="Q4" s="438" t="s">
        <v>88</v>
      </c>
      <c r="R4" s="438" t="s">
        <v>89</v>
      </c>
      <c r="S4" s="438" t="s">
        <v>90</v>
      </c>
      <c r="T4" s="438" t="s">
        <v>91</v>
      </c>
    </row>
    <row r="5" spans="1:20" s="148" customFormat="1" ht="12.75" customHeight="1">
      <c r="A5" s="390" t="s">
        <v>62</v>
      </c>
      <c r="B5" s="391">
        <v>212</v>
      </c>
      <c r="C5" s="392">
        <v>3</v>
      </c>
      <c r="D5" s="392">
        <v>38</v>
      </c>
      <c r="E5" s="391">
        <v>1252</v>
      </c>
      <c r="F5" s="391">
        <v>947</v>
      </c>
      <c r="G5" s="391">
        <v>14880</v>
      </c>
      <c r="H5" s="391">
        <v>119</v>
      </c>
      <c r="I5" s="391">
        <v>137</v>
      </c>
      <c r="J5" s="391">
        <v>0</v>
      </c>
      <c r="K5" s="391">
        <v>299</v>
      </c>
      <c r="L5" s="397">
        <v>17887</v>
      </c>
      <c r="M5" s="381">
        <f>SUM(B5:K5)</f>
        <v>17887</v>
      </c>
      <c r="N5" s="381">
        <f t="shared" ref="N5:N43" si="0">L5-M5</f>
        <v>0</v>
      </c>
      <c r="O5" s="381">
        <f t="shared" ref="O5:O43" si="1">SUM(B5,D5)</f>
        <v>250</v>
      </c>
      <c r="P5" s="381">
        <f>SUM(C5,E5,F5)</f>
        <v>2202</v>
      </c>
      <c r="Q5" s="381">
        <f>SUM(G5:K5)</f>
        <v>15435</v>
      </c>
      <c r="R5" s="148">
        <f>(10*O5)+(3*P5)+Q5</f>
        <v>24541</v>
      </c>
      <c r="S5" s="308">
        <f>SUM(R5/($R$44+$R$57))</f>
        <v>1.3951914750089386E-2</v>
      </c>
      <c r="T5" s="381">
        <f>SUM(O5:Q5)-L5</f>
        <v>0</v>
      </c>
    </row>
    <row r="6" spans="1:20" s="148" customFormat="1" ht="12.75" customHeight="1">
      <c r="A6" s="390" t="s">
        <v>84</v>
      </c>
      <c r="B6" s="391">
        <v>1968</v>
      </c>
      <c r="C6" s="392">
        <v>3</v>
      </c>
      <c r="D6" s="391">
        <v>86</v>
      </c>
      <c r="E6" s="391">
        <v>2294</v>
      </c>
      <c r="F6" s="391">
        <v>1082</v>
      </c>
      <c r="G6" s="391">
        <v>8664</v>
      </c>
      <c r="H6" s="392">
        <v>49</v>
      </c>
      <c r="I6" s="391">
        <v>63</v>
      </c>
      <c r="J6" s="391">
        <v>66</v>
      </c>
      <c r="K6" s="391">
        <v>93</v>
      </c>
      <c r="L6" s="397">
        <v>14368</v>
      </c>
      <c r="M6" s="381">
        <f t="shared" ref="M6:M43" si="2">SUM(B6:K6)</f>
        <v>14368</v>
      </c>
      <c r="N6" s="381">
        <f t="shared" si="0"/>
        <v>0</v>
      </c>
      <c r="O6" s="381">
        <f t="shared" si="1"/>
        <v>2054</v>
      </c>
      <c r="P6" s="381">
        <f t="shared" ref="P6:P43" si="3">SUM(C6,E6,F6)</f>
        <v>3379</v>
      </c>
      <c r="Q6" s="381">
        <f t="shared" ref="Q6:Q43" si="4">SUM(G6:K6)</f>
        <v>8935</v>
      </c>
      <c r="R6" s="148">
        <f t="shared" ref="R6:R43" si="5">(10*O6)+(3*P6)+Q6</f>
        <v>39612</v>
      </c>
      <c r="S6" s="308">
        <f t="shared" ref="S6:S43" si="6">SUM(R6/($R$44+$R$57))</f>
        <v>2.2519997028667974E-2</v>
      </c>
      <c r="T6" s="381">
        <f t="shared" ref="T6:T43" si="7">SUM(O6:Q6)-L6</f>
        <v>0</v>
      </c>
    </row>
    <row r="7" spans="1:20" s="148" customFormat="1" ht="12.75" customHeight="1">
      <c r="A7" s="390" t="s">
        <v>35</v>
      </c>
      <c r="B7" s="391">
        <v>114</v>
      </c>
      <c r="C7" s="391">
        <v>57</v>
      </c>
      <c r="D7" s="391">
        <v>17</v>
      </c>
      <c r="E7" s="391">
        <v>1263</v>
      </c>
      <c r="F7" s="391">
        <v>241</v>
      </c>
      <c r="G7" s="391">
        <v>3811</v>
      </c>
      <c r="H7" s="391">
        <v>36</v>
      </c>
      <c r="I7" s="391">
        <v>32</v>
      </c>
      <c r="J7" s="391">
        <v>176</v>
      </c>
      <c r="K7" s="391">
        <v>380</v>
      </c>
      <c r="L7" s="397">
        <v>6126</v>
      </c>
      <c r="M7" s="381">
        <f t="shared" si="2"/>
        <v>6127</v>
      </c>
      <c r="N7" s="381">
        <f t="shared" si="0"/>
        <v>-1</v>
      </c>
      <c r="O7" s="381">
        <f t="shared" si="1"/>
        <v>131</v>
      </c>
      <c r="P7" s="381">
        <f t="shared" si="3"/>
        <v>1561</v>
      </c>
      <c r="Q7" s="381">
        <f t="shared" si="4"/>
        <v>4435</v>
      </c>
      <c r="R7" s="148">
        <f t="shared" si="5"/>
        <v>10428</v>
      </c>
      <c r="S7" s="308">
        <f t="shared" si="6"/>
        <v>5.9284693783436745E-3</v>
      </c>
      <c r="T7" s="381">
        <f t="shared" si="7"/>
        <v>1</v>
      </c>
    </row>
    <row r="8" spans="1:20" s="148" customFormat="1" ht="12.75" customHeight="1">
      <c r="A8" s="390" t="s">
        <v>36</v>
      </c>
      <c r="B8" s="391">
        <v>197</v>
      </c>
      <c r="C8" s="392">
        <v>3</v>
      </c>
      <c r="D8" s="391">
        <v>45</v>
      </c>
      <c r="E8" s="391">
        <v>1594</v>
      </c>
      <c r="F8" s="391">
        <v>918</v>
      </c>
      <c r="G8" s="391">
        <v>7817</v>
      </c>
      <c r="H8" s="392">
        <v>38</v>
      </c>
      <c r="I8" s="391">
        <v>327</v>
      </c>
      <c r="J8" s="391">
        <v>743</v>
      </c>
      <c r="K8" s="391">
        <v>44</v>
      </c>
      <c r="L8" s="397">
        <v>11726</v>
      </c>
      <c r="M8" s="381">
        <f t="shared" si="2"/>
        <v>11726</v>
      </c>
      <c r="N8" s="381">
        <f t="shared" si="0"/>
        <v>0</v>
      </c>
      <c r="O8" s="381">
        <f t="shared" si="1"/>
        <v>242</v>
      </c>
      <c r="P8" s="381">
        <f t="shared" si="3"/>
        <v>2515</v>
      </c>
      <c r="Q8" s="381">
        <f t="shared" si="4"/>
        <v>8969</v>
      </c>
      <c r="R8" s="148">
        <f t="shared" si="5"/>
        <v>18934</v>
      </c>
      <c r="S8" s="308">
        <f t="shared" si="6"/>
        <v>1.0764253855922433E-2</v>
      </c>
      <c r="T8" s="381">
        <f t="shared" si="7"/>
        <v>0</v>
      </c>
    </row>
    <row r="9" spans="1:20" s="148" customFormat="1" ht="12.75" customHeight="1">
      <c r="A9" s="182" t="s">
        <v>160</v>
      </c>
      <c r="B9" s="391">
        <v>162</v>
      </c>
      <c r="C9" s="391">
        <v>5</v>
      </c>
      <c r="D9" s="391">
        <v>35</v>
      </c>
      <c r="E9" s="391">
        <v>193</v>
      </c>
      <c r="F9" s="391">
        <v>535</v>
      </c>
      <c r="G9" s="391">
        <v>3488</v>
      </c>
      <c r="H9" s="391">
        <v>21</v>
      </c>
      <c r="I9" s="391">
        <v>83</v>
      </c>
      <c r="J9" s="391">
        <v>606</v>
      </c>
      <c r="K9" s="391">
        <v>8</v>
      </c>
      <c r="L9" s="397">
        <v>5135</v>
      </c>
      <c r="M9" s="381">
        <f t="shared" si="2"/>
        <v>5136</v>
      </c>
      <c r="N9" s="381">
        <f t="shared" si="0"/>
        <v>-1</v>
      </c>
      <c r="O9" s="381">
        <f t="shared" si="1"/>
        <v>197</v>
      </c>
      <c r="P9" s="381">
        <f t="shared" si="3"/>
        <v>733</v>
      </c>
      <c r="Q9" s="381">
        <f t="shared" si="4"/>
        <v>4206</v>
      </c>
      <c r="R9" s="148">
        <f t="shared" si="5"/>
        <v>8375</v>
      </c>
      <c r="S9" s="308">
        <f t="shared" si="6"/>
        <v>4.7613090759137206E-3</v>
      </c>
      <c r="T9" s="381">
        <f t="shared" si="7"/>
        <v>1</v>
      </c>
    </row>
    <row r="10" spans="1:20" s="148" customFormat="1" ht="12.75" customHeight="1">
      <c r="A10" s="390" t="s">
        <v>14</v>
      </c>
      <c r="B10" s="391">
        <v>439</v>
      </c>
      <c r="C10" s="391">
        <v>23</v>
      </c>
      <c r="D10" s="391">
        <v>25</v>
      </c>
      <c r="E10" s="391">
        <v>2282</v>
      </c>
      <c r="F10" s="391">
        <v>1018</v>
      </c>
      <c r="G10" s="391">
        <v>15550</v>
      </c>
      <c r="H10" s="391">
        <v>2033</v>
      </c>
      <c r="I10" s="391">
        <v>86</v>
      </c>
      <c r="J10" s="391">
        <v>172</v>
      </c>
      <c r="K10" s="391">
        <v>176</v>
      </c>
      <c r="L10" s="397">
        <v>21804</v>
      </c>
      <c r="M10" s="381">
        <f t="shared" si="2"/>
        <v>21804</v>
      </c>
      <c r="N10" s="381">
        <f t="shared" si="0"/>
        <v>0</v>
      </c>
      <c r="O10" s="381">
        <f t="shared" si="1"/>
        <v>464</v>
      </c>
      <c r="P10" s="381">
        <f t="shared" si="3"/>
        <v>3323</v>
      </c>
      <c r="Q10" s="381">
        <f t="shared" si="4"/>
        <v>18017</v>
      </c>
      <c r="R10" s="148">
        <f t="shared" si="5"/>
        <v>32626</v>
      </c>
      <c r="S10" s="308">
        <f t="shared" si="6"/>
        <v>1.8548354616210273E-2</v>
      </c>
      <c r="T10" s="381">
        <f t="shared" si="7"/>
        <v>0</v>
      </c>
    </row>
    <row r="11" spans="1:20" s="148" customFormat="1" ht="12.75" customHeight="1">
      <c r="A11" s="390" t="s">
        <v>44</v>
      </c>
      <c r="B11" s="391">
        <v>1272</v>
      </c>
      <c r="C11" s="391">
        <v>0</v>
      </c>
      <c r="D11" s="391">
        <v>182</v>
      </c>
      <c r="E11" s="391">
        <v>2857</v>
      </c>
      <c r="F11" s="391">
        <v>924</v>
      </c>
      <c r="G11" s="391">
        <v>26678</v>
      </c>
      <c r="H11" s="391">
        <v>118</v>
      </c>
      <c r="I11" s="391">
        <v>56</v>
      </c>
      <c r="J11" s="391">
        <v>615</v>
      </c>
      <c r="K11" s="391">
        <v>111</v>
      </c>
      <c r="L11" s="397">
        <v>32813</v>
      </c>
      <c r="M11" s="381">
        <f t="shared" si="2"/>
        <v>32813</v>
      </c>
      <c r="N11" s="381">
        <f t="shared" si="0"/>
        <v>0</v>
      </c>
      <c r="O11" s="381">
        <f t="shared" si="1"/>
        <v>1454</v>
      </c>
      <c r="P11" s="381">
        <f t="shared" si="3"/>
        <v>3781</v>
      </c>
      <c r="Q11" s="381">
        <f t="shared" si="4"/>
        <v>27578</v>
      </c>
      <c r="R11" s="148">
        <f t="shared" si="5"/>
        <v>53461</v>
      </c>
      <c r="S11" s="308">
        <f t="shared" si="6"/>
        <v>3.0393354568050555E-2</v>
      </c>
      <c r="T11" s="381">
        <f t="shared" si="7"/>
        <v>0</v>
      </c>
    </row>
    <row r="12" spans="1:20" s="148" customFormat="1" ht="12.75" customHeight="1">
      <c r="A12" s="390" t="s">
        <v>63</v>
      </c>
      <c r="B12" s="391">
        <v>938</v>
      </c>
      <c r="C12" s="391">
        <v>11</v>
      </c>
      <c r="D12" s="391">
        <v>45</v>
      </c>
      <c r="E12" s="391">
        <v>4012</v>
      </c>
      <c r="F12" s="391">
        <v>1079</v>
      </c>
      <c r="G12" s="391">
        <v>24131</v>
      </c>
      <c r="H12" s="391">
        <v>144</v>
      </c>
      <c r="I12" s="391">
        <v>80</v>
      </c>
      <c r="J12" s="391">
        <v>0</v>
      </c>
      <c r="K12" s="391">
        <v>139</v>
      </c>
      <c r="L12" s="397">
        <v>30579</v>
      </c>
      <c r="M12" s="381">
        <f t="shared" si="2"/>
        <v>30579</v>
      </c>
      <c r="N12" s="381">
        <f t="shared" si="0"/>
        <v>0</v>
      </c>
      <c r="O12" s="381">
        <f t="shared" si="1"/>
        <v>983</v>
      </c>
      <c r="P12" s="381">
        <f t="shared" si="3"/>
        <v>5102</v>
      </c>
      <c r="Q12" s="381">
        <f t="shared" si="4"/>
        <v>24494</v>
      </c>
      <c r="R12" s="148">
        <f t="shared" si="5"/>
        <v>49630</v>
      </c>
      <c r="S12" s="308">
        <f t="shared" si="6"/>
        <v>2.8215375455235576E-2</v>
      </c>
      <c r="T12" s="381">
        <f t="shared" si="7"/>
        <v>0</v>
      </c>
    </row>
    <row r="13" spans="1:20" s="148" customFormat="1" ht="12.75" customHeight="1">
      <c r="A13" s="390" t="s">
        <v>45</v>
      </c>
      <c r="B13" s="391">
        <v>356</v>
      </c>
      <c r="C13" s="391">
        <v>11</v>
      </c>
      <c r="D13" s="391">
        <v>106</v>
      </c>
      <c r="E13" s="391">
        <v>1415</v>
      </c>
      <c r="F13" s="391">
        <v>1146</v>
      </c>
      <c r="G13" s="391">
        <v>13949</v>
      </c>
      <c r="H13" s="391">
        <v>56</v>
      </c>
      <c r="I13" s="391">
        <v>43</v>
      </c>
      <c r="J13" s="391">
        <v>557</v>
      </c>
      <c r="K13" s="391">
        <v>13</v>
      </c>
      <c r="L13" s="397">
        <v>17652</v>
      </c>
      <c r="M13" s="381">
        <f t="shared" si="2"/>
        <v>17652</v>
      </c>
      <c r="N13" s="381">
        <f t="shared" si="0"/>
        <v>0</v>
      </c>
      <c r="O13" s="381">
        <f t="shared" si="1"/>
        <v>462</v>
      </c>
      <c r="P13" s="381">
        <f t="shared" si="3"/>
        <v>2572</v>
      </c>
      <c r="Q13" s="381">
        <f t="shared" si="4"/>
        <v>14618</v>
      </c>
      <c r="R13" s="148">
        <f t="shared" si="5"/>
        <v>26954</v>
      </c>
      <c r="S13" s="308">
        <f t="shared" si="6"/>
        <v>1.5323740278469064E-2</v>
      </c>
      <c r="T13" s="381">
        <f t="shared" si="7"/>
        <v>0</v>
      </c>
    </row>
    <row r="14" spans="1:20" s="148" customFormat="1" ht="12.75" customHeight="1">
      <c r="A14" s="390" t="s">
        <v>74</v>
      </c>
      <c r="B14" s="391">
        <v>617</v>
      </c>
      <c r="C14" s="391">
        <v>60</v>
      </c>
      <c r="D14" s="391">
        <v>63</v>
      </c>
      <c r="E14" s="391">
        <v>2026</v>
      </c>
      <c r="F14" s="391">
        <v>773</v>
      </c>
      <c r="G14" s="391">
        <v>10649</v>
      </c>
      <c r="H14" s="391">
        <v>0</v>
      </c>
      <c r="I14" s="391">
        <v>73</v>
      </c>
      <c r="J14" s="391">
        <v>312</v>
      </c>
      <c r="K14" s="391">
        <v>47</v>
      </c>
      <c r="L14" s="397">
        <v>14619</v>
      </c>
      <c r="M14" s="381">
        <f t="shared" si="2"/>
        <v>14620</v>
      </c>
      <c r="N14" s="381">
        <f t="shared" si="0"/>
        <v>-1</v>
      </c>
      <c r="O14" s="381">
        <f t="shared" si="1"/>
        <v>680</v>
      </c>
      <c r="P14" s="381">
        <f t="shared" si="3"/>
        <v>2859</v>
      </c>
      <c r="Q14" s="381">
        <f t="shared" si="4"/>
        <v>11081</v>
      </c>
      <c r="R14" s="148">
        <f t="shared" si="5"/>
        <v>26458</v>
      </c>
      <c r="S14" s="308">
        <f t="shared" si="6"/>
        <v>1.5041757078271668E-2</v>
      </c>
      <c r="T14" s="381">
        <f t="shared" si="7"/>
        <v>1</v>
      </c>
    </row>
    <row r="15" spans="1:20" s="148" customFormat="1" ht="12.75" customHeight="1">
      <c r="A15" s="390" t="s">
        <v>37</v>
      </c>
      <c r="B15" s="391">
        <v>1190</v>
      </c>
      <c r="C15" s="391">
        <v>58</v>
      </c>
      <c r="D15" s="391">
        <v>80</v>
      </c>
      <c r="E15" s="391">
        <v>2754</v>
      </c>
      <c r="F15" s="391">
        <v>1143</v>
      </c>
      <c r="G15" s="391">
        <v>25447</v>
      </c>
      <c r="H15" s="391">
        <v>0</v>
      </c>
      <c r="I15" s="391">
        <v>141</v>
      </c>
      <c r="J15" s="391">
        <v>10</v>
      </c>
      <c r="K15" s="391">
        <v>398</v>
      </c>
      <c r="L15" s="397">
        <v>31221</v>
      </c>
      <c r="M15" s="381">
        <f t="shared" si="2"/>
        <v>31221</v>
      </c>
      <c r="N15" s="381">
        <f t="shared" si="0"/>
        <v>0</v>
      </c>
      <c r="O15" s="381">
        <f t="shared" si="1"/>
        <v>1270</v>
      </c>
      <c r="P15" s="381">
        <f t="shared" si="3"/>
        <v>3955</v>
      </c>
      <c r="Q15" s="381">
        <f t="shared" si="4"/>
        <v>25996</v>
      </c>
      <c r="R15" s="148">
        <f t="shared" si="5"/>
        <v>50561</v>
      </c>
      <c r="S15" s="308">
        <f t="shared" si="6"/>
        <v>2.8744662470122223E-2</v>
      </c>
      <c r="T15" s="381">
        <f t="shared" si="7"/>
        <v>0</v>
      </c>
    </row>
    <row r="16" spans="1:20" s="148" customFormat="1" ht="12.75" customHeight="1">
      <c r="A16" s="390" t="s">
        <v>38</v>
      </c>
      <c r="B16" s="391">
        <v>506</v>
      </c>
      <c r="C16" s="391">
        <v>23</v>
      </c>
      <c r="D16" s="391">
        <v>55</v>
      </c>
      <c r="E16" s="391">
        <v>1826</v>
      </c>
      <c r="F16" s="391">
        <v>377</v>
      </c>
      <c r="G16" s="391">
        <v>11633</v>
      </c>
      <c r="H16" s="391">
        <v>0</v>
      </c>
      <c r="I16" s="391">
        <v>371</v>
      </c>
      <c r="J16" s="391">
        <v>80</v>
      </c>
      <c r="K16" s="391">
        <v>358</v>
      </c>
      <c r="L16" s="397">
        <v>15230</v>
      </c>
      <c r="M16" s="381">
        <f t="shared" si="2"/>
        <v>15229</v>
      </c>
      <c r="N16" s="381">
        <f t="shared" si="0"/>
        <v>1</v>
      </c>
      <c r="O16" s="381">
        <f t="shared" si="1"/>
        <v>561</v>
      </c>
      <c r="P16" s="381">
        <f t="shared" si="3"/>
        <v>2226</v>
      </c>
      <c r="Q16" s="381">
        <f t="shared" si="4"/>
        <v>12442</v>
      </c>
      <c r="R16" s="148">
        <f t="shared" si="5"/>
        <v>24730</v>
      </c>
      <c r="S16" s="308">
        <f t="shared" si="6"/>
        <v>1.4059363993712992E-2</v>
      </c>
      <c r="T16" s="381">
        <f t="shared" si="7"/>
        <v>-1</v>
      </c>
    </row>
    <row r="17" spans="1:20" s="148" customFormat="1" ht="12.75" customHeight="1">
      <c r="A17" s="390" t="s">
        <v>26</v>
      </c>
      <c r="B17" s="391">
        <v>1017</v>
      </c>
      <c r="C17" s="391">
        <v>13</v>
      </c>
      <c r="D17" s="391">
        <v>111</v>
      </c>
      <c r="E17" s="391">
        <v>2506</v>
      </c>
      <c r="F17" s="391">
        <v>1130</v>
      </c>
      <c r="G17" s="391">
        <v>20685</v>
      </c>
      <c r="H17" s="391">
        <v>0</v>
      </c>
      <c r="I17" s="391">
        <v>581</v>
      </c>
      <c r="J17" s="391">
        <v>57</v>
      </c>
      <c r="K17" s="391">
        <v>59</v>
      </c>
      <c r="L17" s="397">
        <v>26158</v>
      </c>
      <c r="M17" s="381">
        <f t="shared" si="2"/>
        <v>26159</v>
      </c>
      <c r="N17" s="381">
        <f t="shared" si="0"/>
        <v>-1</v>
      </c>
      <c r="O17" s="381">
        <f t="shared" si="1"/>
        <v>1128</v>
      </c>
      <c r="P17" s="381">
        <f t="shared" si="3"/>
        <v>3649</v>
      </c>
      <c r="Q17" s="381">
        <f t="shared" si="4"/>
        <v>21382</v>
      </c>
      <c r="R17" s="148">
        <f t="shared" si="5"/>
        <v>43609</v>
      </c>
      <c r="S17" s="308">
        <f t="shared" si="6"/>
        <v>2.4792349551226438E-2</v>
      </c>
      <c r="T17" s="381">
        <f t="shared" si="7"/>
        <v>1</v>
      </c>
    </row>
    <row r="18" spans="1:20" s="148" customFormat="1" ht="12.75" customHeight="1">
      <c r="A18" s="390" t="s">
        <v>15</v>
      </c>
      <c r="B18" s="391">
        <v>1211</v>
      </c>
      <c r="C18" s="392">
        <v>3</v>
      </c>
      <c r="D18" s="392">
        <v>38</v>
      </c>
      <c r="E18" s="391">
        <v>3889</v>
      </c>
      <c r="F18" s="391">
        <v>779</v>
      </c>
      <c r="G18" s="391">
        <v>22032</v>
      </c>
      <c r="H18" s="391">
        <v>0</v>
      </c>
      <c r="I18" s="391">
        <v>111</v>
      </c>
      <c r="J18" s="391">
        <v>110</v>
      </c>
      <c r="K18" s="391">
        <v>362</v>
      </c>
      <c r="L18" s="397">
        <v>28538</v>
      </c>
      <c r="M18" s="381">
        <f t="shared" si="2"/>
        <v>28535</v>
      </c>
      <c r="N18" s="381">
        <f t="shared" si="0"/>
        <v>3</v>
      </c>
      <c r="O18" s="381">
        <f t="shared" si="1"/>
        <v>1249</v>
      </c>
      <c r="P18" s="381">
        <f t="shared" si="3"/>
        <v>4671</v>
      </c>
      <c r="Q18" s="381">
        <f t="shared" si="4"/>
        <v>22615</v>
      </c>
      <c r="R18" s="148">
        <f t="shared" si="5"/>
        <v>49118</v>
      </c>
      <c r="S18" s="308">
        <f t="shared" si="6"/>
        <v>2.7924296022773746E-2</v>
      </c>
      <c r="T18" s="381">
        <f t="shared" si="7"/>
        <v>-3</v>
      </c>
    </row>
    <row r="19" spans="1:20" s="148" customFormat="1" ht="12.75" customHeight="1">
      <c r="A19" s="390" t="s">
        <v>28</v>
      </c>
      <c r="B19" s="391">
        <v>2725</v>
      </c>
      <c r="C19" s="391">
        <v>0</v>
      </c>
      <c r="D19" s="391">
        <v>388</v>
      </c>
      <c r="E19" s="391">
        <v>5658</v>
      </c>
      <c r="F19" s="391">
        <v>1385</v>
      </c>
      <c r="G19" s="391">
        <v>38908</v>
      </c>
      <c r="H19" s="392">
        <v>19</v>
      </c>
      <c r="I19" s="391">
        <v>382</v>
      </c>
      <c r="J19" s="392">
        <v>3</v>
      </c>
      <c r="K19" s="391">
        <v>158</v>
      </c>
      <c r="L19" s="397">
        <v>49626</v>
      </c>
      <c r="M19" s="381">
        <f t="shared" si="2"/>
        <v>49626</v>
      </c>
      <c r="N19" s="381">
        <f t="shared" si="0"/>
        <v>0</v>
      </c>
      <c r="O19" s="381">
        <f t="shared" si="1"/>
        <v>3113</v>
      </c>
      <c r="P19" s="381">
        <f t="shared" si="3"/>
        <v>7043</v>
      </c>
      <c r="Q19" s="381">
        <f t="shared" si="4"/>
        <v>39470</v>
      </c>
      <c r="R19" s="148">
        <f t="shared" si="5"/>
        <v>91729</v>
      </c>
      <c r="S19" s="308">
        <f t="shared" si="6"/>
        <v>5.2149268086506224E-2</v>
      </c>
      <c r="T19" s="381">
        <f t="shared" si="7"/>
        <v>0</v>
      </c>
    </row>
    <row r="20" spans="1:20" s="148" customFormat="1" ht="12.75" customHeight="1">
      <c r="A20" s="390" t="s">
        <v>46</v>
      </c>
      <c r="B20" s="391">
        <v>490</v>
      </c>
      <c r="C20" s="391">
        <v>11</v>
      </c>
      <c r="D20" s="391">
        <v>60</v>
      </c>
      <c r="E20" s="391">
        <v>1072</v>
      </c>
      <c r="F20" s="391">
        <v>635</v>
      </c>
      <c r="G20" s="391">
        <v>13182</v>
      </c>
      <c r="H20" s="391">
        <v>0</v>
      </c>
      <c r="I20" s="391">
        <v>40</v>
      </c>
      <c r="J20" s="391">
        <v>188</v>
      </c>
      <c r="K20" s="391">
        <v>61</v>
      </c>
      <c r="L20" s="397">
        <v>15739</v>
      </c>
      <c r="M20" s="381">
        <f t="shared" si="2"/>
        <v>15739</v>
      </c>
      <c r="N20" s="381">
        <f t="shared" si="0"/>
        <v>0</v>
      </c>
      <c r="O20" s="381">
        <f t="shared" si="1"/>
        <v>550</v>
      </c>
      <c r="P20" s="381">
        <f t="shared" si="3"/>
        <v>1718</v>
      </c>
      <c r="Q20" s="381">
        <f t="shared" si="4"/>
        <v>13471</v>
      </c>
      <c r="R20" s="148">
        <f t="shared" si="5"/>
        <v>24125</v>
      </c>
      <c r="S20" s="308">
        <f t="shared" si="6"/>
        <v>1.371541271121415E-2</v>
      </c>
      <c r="T20" s="381">
        <f t="shared" si="7"/>
        <v>0</v>
      </c>
    </row>
    <row r="21" spans="1:20" s="148" customFormat="1" ht="12.75" customHeight="1">
      <c r="A21" s="390" t="s">
        <v>39</v>
      </c>
      <c r="B21" s="391">
        <v>1263</v>
      </c>
      <c r="C21" s="391">
        <v>18</v>
      </c>
      <c r="D21" s="391">
        <v>304</v>
      </c>
      <c r="E21" s="391">
        <v>2522</v>
      </c>
      <c r="F21" s="391">
        <v>1311</v>
      </c>
      <c r="G21" s="391">
        <v>26586</v>
      </c>
      <c r="H21" s="391">
        <v>0</v>
      </c>
      <c r="I21" s="391">
        <v>449</v>
      </c>
      <c r="J21" s="391">
        <v>0</v>
      </c>
      <c r="K21" s="391">
        <v>174</v>
      </c>
      <c r="L21" s="397">
        <v>32627</v>
      </c>
      <c r="M21" s="381">
        <f t="shared" si="2"/>
        <v>32627</v>
      </c>
      <c r="N21" s="381">
        <f t="shared" si="0"/>
        <v>0</v>
      </c>
      <c r="O21" s="381">
        <f t="shared" si="1"/>
        <v>1567</v>
      </c>
      <c r="P21" s="381">
        <f t="shared" si="3"/>
        <v>3851</v>
      </c>
      <c r="Q21" s="381">
        <f t="shared" si="4"/>
        <v>27209</v>
      </c>
      <c r="R21" s="148">
        <f t="shared" si="5"/>
        <v>54432</v>
      </c>
      <c r="S21" s="308">
        <f t="shared" si="6"/>
        <v>3.0945382163598285E-2</v>
      </c>
      <c r="T21" s="381">
        <f t="shared" si="7"/>
        <v>0</v>
      </c>
    </row>
    <row r="22" spans="1:20" s="148" customFormat="1" ht="12.75" customHeight="1">
      <c r="A22" s="390" t="s">
        <v>29</v>
      </c>
      <c r="B22" s="391">
        <v>1155</v>
      </c>
      <c r="C22" s="392">
        <v>3</v>
      </c>
      <c r="D22" s="391">
        <v>139</v>
      </c>
      <c r="E22" s="391">
        <v>4561</v>
      </c>
      <c r="F22" s="391">
        <v>996</v>
      </c>
      <c r="G22" s="391">
        <v>31706</v>
      </c>
      <c r="H22" s="391">
        <v>1611</v>
      </c>
      <c r="I22" s="391">
        <v>1220</v>
      </c>
      <c r="J22" s="392">
        <v>3</v>
      </c>
      <c r="K22" s="391">
        <v>68</v>
      </c>
      <c r="L22" s="397">
        <v>41458</v>
      </c>
      <c r="M22" s="381">
        <f t="shared" si="2"/>
        <v>41462</v>
      </c>
      <c r="N22" s="381">
        <f t="shared" si="0"/>
        <v>-4</v>
      </c>
      <c r="O22" s="381">
        <f t="shared" si="1"/>
        <v>1294</v>
      </c>
      <c r="P22" s="381">
        <f t="shared" si="3"/>
        <v>5560</v>
      </c>
      <c r="Q22" s="381">
        <f t="shared" si="4"/>
        <v>34608</v>
      </c>
      <c r="R22" s="148">
        <f t="shared" si="5"/>
        <v>64228</v>
      </c>
      <c r="S22" s="308">
        <f t="shared" si="6"/>
        <v>3.6514550367496887E-2</v>
      </c>
      <c r="T22" s="381">
        <f t="shared" si="7"/>
        <v>4</v>
      </c>
    </row>
    <row r="23" spans="1:20" s="148" customFormat="1" ht="12.75" customHeight="1">
      <c r="A23" s="390" t="s">
        <v>16</v>
      </c>
      <c r="B23" s="391">
        <v>255</v>
      </c>
      <c r="C23" s="391">
        <v>0</v>
      </c>
      <c r="D23" s="391">
        <v>13</v>
      </c>
      <c r="E23" s="391">
        <v>641</v>
      </c>
      <c r="F23" s="391">
        <v>131</v>
      </c>
      <c r="G23" s="391">
        <v>7711</v>
      </c>
      <c r="H23" s="391">
        <v>235</v>
      </c>
      <c r="I23" s="391">
        <v>89</v>
      </c>
      <c r="J23" s="391">
        <v>396</v>
      </c>
      <c r="K23" s="391">
        <v>16</v>
      </c>
      <c r="L23" s="397">
        <v>9487</v>
      </c>
      <c r="M23" s="381">
        <f t="shared" si="2"/>
        <v>9487</v>
      </c>
      <c r="N23" s="381">
        <f t="shared" si="0"/>
        <v>0</v>
      </c>
      <c r="O23" s="381">
        <f t="shared" si="1"/>
        <v>268</v>
      </c>
      <c r="P23" s="381">
        <f t="shared" si="3"/>
        <v>772</v>
      </c>
      <c r="Q23" s="381">
        <f t="shared" si="4"/>
        <v>8447</v>
      </c>
      <c r="R23" s="148">
        <f t="shared" si="5"/>
        <v>13443</v>
      </c>
      <c r="S23" s="308">
        <f t="shared" si="6"/>
        <v>7.6425406456726141E-3</v>
      </c>
      <c r="T23" s="381">
        <f t="shared" si="7"/>
        <v>0</v>
      </c>
    </row>
    <row r="24" spans="1:20" s="148" customFormat="1" ht="12.75" customHeight="1">
      <c r="A24" s="390" t="s">
        <v>30</v>
      </c>
      <c r="B24" s="391">
        <v>695</v>
      </c>
      <c r="C24" s="391">
        <v>0</v>
      </c>
      <c r="D24" s="391">
        <v>36</v>
      </c>
      <c r="E24" s="391">
        <v>1764</v>
      </c>
      <c r="F24" s="391">
        <v>625</v>
      </c>
      <c r="G24" s="391">
        <v>15424</v>
      </c>
      <c r="H24" s="391">
        <v>119</v>
      </c>
      <c r="I24" s="391">
        <v>334</v>
      </c>
      <c r="J24" s="391">
        <v>0</v>
      </c>
      <c r="K24" s="391">
        <v>217</v>
      </c>
      <c r="L24" s="397">
        <v>19213</v>
      </c>
      <c r="M24" s="381">
        <f t="shared" si="2"/>
        <v>19214</v>
      </c>
      <c r="N24" s="381">
        <f t="shared" si="0"/>
        <v>-1</v>
      </c>
      <c r="O24" s="381">
        <f t="shared" si="1"/>
        <v>731</v>
      </c>
      <c r="P24" s="381">
        <f t="shared" si="3"/>
        <v>2389</v>
      </c>
      <c r="Q24" s="381">
        <f t="shared" si="4"/>
        <v>16094</v>
      </c>
      <c r="R24" s="148">
        <f t="shared" si="5"/>
        <v>30571</v>
      </c>
      <c r="S24" s="308">
        <f t="shared" si="6"/>
        <v>1.7380057284747265E-2</v>
      </c>
      <c r="T24" s="381">
        <f t="shared" si="7"/>
        <v>1</v>
      </c>
    </row>
    <row r="25" spans="1:20" s="148" customFormat="1" ht="12.75" customHeight="1">
      <c r="A25" s="390" t="s">
        <v>75</v>
      </c>
      <c r="B25" s="391">
        <v>1413</v>
      </c>
      <c r="C25" s="391">
        <v>0</v>
      </c>
      <c r="D25" s="391">
        <v>168</v>
      </c>
      <c r="E25" s="391">
        <v>2411</v>
      </c>
      <c r="F25" s="391">
        <v>473</v>
      </c>
      <c r="G25" s="391">
        <v>15214</v>
      </c>
      <c r="H25" s="391">
        <v>0</v>
      </c>
      <c r="I25" s="391">
        <v>131</v>
      </c>
      <c r="J25" s="391">
        <v>87</v>
      </c>
      <c r="K25" s="391">
        <v>189</v>
      </c>
      <c r="L25" s="397">
        <v>20086</v>
      </c>
      <c r="M25" s="381">
        <f t="shared" si="2"/>
        <v>20086</v>
      </c>
      <c r="N25" s="381">
        <f t="shared" si="0"/>
        <v>0</v>
      </c>
      <c r="O25" s="381">
        <f t="shared" si="1"/>
        <v>1581</v>
      </c>
      <c r="P25" s="381">
        <f t="shared" si="3"/>
        <v>2884</v>
      </c>
      <c r="Q25" s="381">
        <f t="shared" si="4"/>
        <v>15621</v>
      </c>
      <c r="R25" s="148">
        <f t="shared" si="5"/>
        <v>40083</v>
      </c>
      <c r="S25" s="308">
        <f t="shared" si="6"/>
        <v>2.2787767365952196E-2</v>
      </c>
      <c r="T25" s="381">
        <f t="shared" si="7"/>
        <v>0</v>
      </c>
    </row>
    <row r="26" spans="1:20" s="148" customFormat="1" ht="12.75" customHeight="1">
      <c r="A26" s="390" t="s">
        <v>32</v>
      </c>
      <c r="B26" s="391">
        <v>117</v>
      </c>
      <c r="C26" s="391">
        <v>8</v>
      </c>
      <c r="D26" s="391">
        <v>21</v>
      </c>
      <c r="E26" s="391">
        <v>1679</v>
      </c>
      <c r="F26" s="391">
        <v>670</v>
      </c>
      <c r="G26" s="391">
        <v>6435</v>
      </c>
      <c r="H26" s="391">
        <v>30</v>
      </c>
      <c r="I26" s="391">
        <v>61</v>
      </c>
      <c r="J26" s="391">
        <v>37</v>
      </c>
      <c r="K26" s="391">
        <v>163</v>
      </c>
      <c r="L26" s="397">
        <v>9219</v>
      </c>
      <c r="M26" s="381">
        <f t="shared" si="2"/>
        <v>9221</v>
      </c>
      <c r="N26" s="381">
        <f t="shared" si="0"/>
        <v>-2</v>
      </c>
      <c r="O26" s="381">
        <f t="shared" si="1"/>
        <v>138</v>
      </c>
      <c r="P26" s="381">
        <f t="shared" si="3"/>
        <v>2357</v>
      </c>
      <c r="Q26" s="381">
        <f t="shared" si="4"/>
        <v>6726</v>
      </c>
      <c r="R26" s="148">
        <f t="shared" si="5"/>
        <v>15177</v>
      </c>
      <c r="S26" s="308">
        <f t="shared" si="6"/>
        <v>8.6283448173304512E-3</v>
      </c>
      <c r="T26" s="381">
        <f t="shared" si="7"/>
        <v>2</v>
      </c>
    </row>
    <row r="27" spans="1:20" s="148" customFormat="1" ht="12.75" customHeight="1">
      <c r="A27" s="390" t="s">
        <v>60</v>
      </c>
      <c r="B27" s="391">
        <v>318</v>
      </c>
      <c r="C27" s="391">
        <v>0</v>
      </c>
      <c r="D27" s="392">
        <v>31</v>
      </c>
      <c r="E27" s="391">
        <v>1359</v>
      </c>
      <c r="F27" s="391">
        <v>450</v>
      </c>
      <c r="G27" s="391">
        <v>8350</v>
      </c>
      <c r="H27" s="392">
        <v>3</v>
      </c>
      <c r="I27" s="391">
        <v>445</v>
      </c>
      <c r="J27" s="391">
        <v>160</v>
      </c>
      <c r="K27" s="391">
        <v>71</v>
      </c>
      <c r="L27" s="397">
        <v>11187</v>
      </c>
      <c r="M27" s="381">
        <f t="shared" si="2"/>
        <v>11187</v>
      </c>
      <c r="N27" s="381">
        <f t="shared" si="0"/>
        <v>0</v>
      </c>
      <c r="O27" s="381">
        <f t="shared" si="1"/>
        <v>349</v>
      </c>
      <c r="P27" s="381">
        <f t="shared" si="3"/>
        <v>1809</v>
      </c>
      <c r="Q27" s="381">
        <f t="shared" si="4"/>
        <v>9029</v>
      </c>
      <c r="R27" s="148">
        <f t="shared" si="5"/>
        <v>17946</v>
      </c>
      <c r="S27" s="308">
        <f t="shared" si="6"/>
        <v>1.0202561513593746E-2</v>
      </c>
      <c r="T27" s="381">
        <f t="shared" si="7"/>
        <v>0</v>
      </c>
    </row>
    <row r="28" spans="1:20" s="148" customFormat="1" ht="12.75" customHeight="1">
      <c r="A28" s="390" t="s">
        <v>76</v>
      </c>
      <c r="B28" s="391">
        <v>2823</v>
      </c>
      <c r="C28" s="391">
        <v>54</v>
      </c>
      <c r="D28" s="391">
        <v>378</v>
      </c>
      <c r="E28" s="391">
        <v>10985</v>
      </c>
      <c r="F28" s="391">
        <v>1478</v>
      </c>
      <c r="G28" s="391">
        <v>21877</v>
      </c>
      <c r="H28" s="391">
        <v>64</v>
      </c>
      <c r="I28" s="391">
        <v>262</v>
      </c>
      <c r="J28" s="391">
        <v>41</v>
      </c>
      <c r="K28" s="391">
        <v>281</v>
      </c>
      <c r="L28" s="397">
        <v>38243</v>
      </c>
      <c r="M28" s="381">
        <f t="shared" si="2"/>
        <v>38243</v>
      </c>
      <c r="N28" s="381">
        <f t="shared" si="0"/>
        <v>0</v>
      </c>
      <c r="O28" s="381">
        <f t="shared" si="1"/>
        <v>3201</v>
      </c>
      <c r="P28" s="381">
        <f t="shared" si="3"/>
        <v>12517</v>
      </c>
      <c r="Q28" s="381">
        <f t="shared" si="4"/>
        <v>22525</v>
      </c>
      <c r="R28" s="148">
        <f t="shared" si="5"/>
        <v>92086</v>
      </c>
      <c r="S28" s="308">
        <f t="shared" si="6"/>
        <v>5.235222776890637E-2</v>
      </c>
      <c r="T28" s="381">
        <f t="shared" si="7"/>
        <v>0</v>
      </c>
    </row>
    <row r="29" spans="1:20" s="148" customFormat="1" ht="12.75" customHeight="1">
      <c r="A29" s="390" t="s">
        <v>77</v>
      </c>
      <c r="B29" s="391">
        <v>391</v>
      </c>
      <c r="C29" s="392">
        <v>3</v>
      </c>
      <c r="D29" s="391">
        <v>53</v>
      </c>
      <c r="E29" s="391">
        <v>1407</v>
      </c>
      <c r="F29" s="391">
        <v>949</v>
      </c>
      <c r="G29" s="391">
        <v>7746</v>
      </c>
      <c r="H29" s="391">
        <v>0</v>
      </c>
      <c r="I29" s="391">
        <v>288</v>
      </c>
      <c r="J29" s="391">
        <v>310</v>
      </c>
      <c r="K29" s="392">
        <v>34</v>
      </c>
      <c r="L29" s="397">
        <v>11181</v>
      </c>
      <c r="M29" s="381">
        <f t="shared" si="2"/>
        <v>11181</v>
      </c>
      <c r="N29" s="381">
        <f t="shared" si="0"/>
        <v>0</v>
      </c>
      <c r="O29" s="381">
        <f t="shared" si="1"/>
        <v>444</v>
      </c>
      <c r="P29" s="381">
        <f t="shared" si="3"/>
        <v>2359</v>
      </c>
      <c r="Q29" s="381">
        <f t="shared" si="4"/>
        <v>8378</v>
      </c>
      <c r="R29" s="148">
        <f t="shared" si="5"/>
        <v>19895</v>
      </c>
      <c r="S29" s="308">
        <f t="shared" si="6"/>
        <v>1.1310596306304892E-2</v>
      </c>
      <c r="T29" s="381">
        <f t="shared" si="7"/>
        <v>0</v>
      </c>
    </row>
    <row r="30" spans="1:20" s="148" customFormat="1" ht="12.75" customHeight="1">
      <c r="A30" s="390" t="s">
        <v>78</v>
      </c>
      <c r="B30" s="391">
        <v>2641</v>
      </c>
      <c r="C30" s="392">
        <v>3</v>
      </c>
      <c r="D30" s="391">
        <v>385</v>
      </c>
      <c r="E30" s="391">
        <v>5778</v>
      </c>
      <c r="F30" s="391">
        <v>936</v>
      </c>
      <c r="G30" s="391">
        <v>26926</v>
      </c>
      <c r="H30" s="391">
        <v>0</v>
      </c>
      <c r="I30" s="392">
        <v>15</v>
      </c>
      <c r="J30" s="391">
        <v>97</v>
      </c>
      <c r="K30" s="391">
        <v>464</v>
      </c>
      <c r="L30" s="397">
        <v>37245</v>
      </c>
      <c r="M30" s="381">
        <f t="shared" si="2"/>
        <v>37245</v>
      </c>
      <c r="N30" s="381">
        <f t="shared" si="0"/>
        <v>0</v>
      </c>
      <c r="O30" s="381">
        <f>SUM(B30,D30)</f>
        <v>3026</v>
      </c>
      <c r="P30" s="381">
        <f t="shared" si="3"/>
        <v>6717</v>
      </c>
      <c r="Q30" s="381">
        <f t="shared" si="4"/>
        <v>27502</v>
      </c>
      <c r="R30" s="148">
        <f t="shared" si="5"/>
        <v>77913</v>
      </c>
      <c r="S30" s="308">
        <f t="shared" si="6"/>
        <v>4.429467152616904E-2</v>
      </c>
      <c r="T30" s="381">
        <f t="shared" si="7"/>
        <v>0</v>
      </c>
    </row>
    <row r="31" spans="1:20" s="148" customFormat="1" ht="12.75" customHeight="1">
      <c r="A31" s="390" t="s">
        <v>79</v>
      </c>
      <c r="B31" s="391">
        <v>887</v>
      </c>
      <c r="C31" s="391">
        <v>166</v>
      </c>
      <c r="D31" s="391">
        <v>148</v>
      </c>
      <c r="E31" s="391">
        <v>2416</v>
      </c>
      <c r="F31" s="391">
        <v>576</v>
      </c>
      <c r="G31" s="391">
        <v>18537</v>
      </c>
      <c r="H31" s="391">
        <v>0</v>
      </c>
      <c r="I31" s="391">
        <v>56</v>
      </c>
      <c r="J31" s="391">
        <v>1574</v>
      </c>
      <c r="K31" s="391">
        <v>156</v>
      </c>
      <c r="L31" s="397">
        <v>24515</v>
      </c>
      <c r="M31" s="381">
        <f t="shared" si="2"/>
        <v>24516</v>
      </c>
      <c r="N31" s="381">
        <f t="shared" si="0"/>
        <v>-1</v>
      </c>
      <c r="O31" s="381">
        <f t="shared" si="1"/>
        <v>1035</v>
      </c>
      <c r="P31" s="381">
        <f t="shared" si="3"/>
        <v>3158</v>
      </c>
      <c r="Q31" s="381">
        <f t="shared" si="4"/>
        <v>20323</v>
      </c>
      <c r="R31" s="148">
        <f t="shared" si="5"/>
        <v>40147</v>
      </c>
      <c r="S31" s="308">
        <f t="shared" si="6"/>
        <v>2.2824152295009927E-2</v>
      </c>
      <c r="T31" s="381">
        <f t="shared" si="7"/>
        <v>1</v>
      </c>
    </row>
    <row r="32" spans="1:20" s="148" customFormat="1" ht="12.75" customHeight="1">
      <c r="A32" s="390" t="s">
        <v>80</v>
      </c>
      <c r="B32" s="391">
        <v>56</v>
      </c>
      <c r="C32" s="391">
        <v>0</v>
      </c>
      <c r="D32" s="391">
        <v>36</v>
      </c>
      <c r="E32" s="391">
        <v>147</v>
      </c>
      <c r="F32" s="391">
        <v>184</v>
      </c>
      <c r="G32" s="391">
        <v>7105</v>
      </c>
      <c r="H32" s="391">
        <v>0</v>
      </c>
      <c r="I32" s="391">
        <v>10</v>
      </c>
      <c r="J32" s="391">
        <v>477</v>
      </c>
      <c r="K32" s="391">
        <v>123</v>
      </c>
      <c r="L32" s="397">
        <v>8138</v>
      </c>
      <c r="M32" s="381">
        <f t="shared" si="2"/>
        <v>8138</v>
      </c>
      <c r="N32" s="381">
        <f t="shared" si="0"/>
        <v>0</v>
      </c>
      <c r="O32" s="381">
        <f t="shared" si="1"/>
        <v>92</v>
      </c>
      <c r="P32" s="381">
        <f t="shared" si="3"/>
        <v>331</v>
      </c>
      <c r="Q32" s="381">
        <f t="shared" si="4"/>
        <v>7715</v>
      </c>
      <c r="R32" s="148">
        <f t="shared" si="5"/>
        <v>9628</v>
      </c>
      <c r="S32" s="308">
        <f t="shared" si="6"/>
        <v>5.4736577651220654E-3</v>
      </c>
      <c r="T32" s="381">
        <f t="shared" si="7"/>
        <v>0</v>
      </c>
    </row>
    <row r="33" spans="1:20" s="148" customFormat="1" ht="12.75" customHeight="1">
      <c r="A33" s="390" t="s">
        <v>81</v>
      </c>
      <c r="B33" s="391">
        <v>2844</v>
      </c>
      <c r="C33" s="391">
        <v>79</v>
      </c>
      <c r="D33" s="391">
        <v>252</v>
      </c>
      <c r="E33" s="391">
        <v>4113</v>
      </c>
      <c r="F33" s="391">
        <v>745</v>
      </c>
      <c r="G33" s="391">
        <v>28323</v>
      </c>
      <c r="H33" s="391">
        <v>98</v>
      </c>
      <c r="I33" s="391">
        <v>205</v>
      </c>
      <c r="J33" s="391">
        <v>87</v>
      </c>
      <c r="K33" s="391">
        <v>276</v>
      </c>
      <c r="L33" s="397">
        <v>37022</v>
      </c>
      <c r="M33" s="381">
        <f t="shared" si="2"/>
        <v>37022</v>
      </c>
      <c r="N33" s="381">
        <f t="shared" si="0"/>
        <v>0</v>
      </c>
      <c r="O33" s="381">
        <f t="shared" si="1"/>
        <v>3096</v>
      </c>
      <c r="P33" s="381">
        <f t="shared" si="3"/>
        <v>4937</v>
      </c>
      <c r="Q33" s="381">
        <f t="shared" si="4"/>
        <v>28989</v>
      </c>
      <c r="R33" s="148">
        <f t="shared" si="5"/>
        <v>74760</v>
      </c>
      <c r="S33" s="308">
        <f t="shared" si="6"/>
        <v>4.250214525555937E-2</v>
      </c>
      <c r="T33" s="381">
        <f t="shared" si="7"/>
        <v>0</v>
      </c>
    </row>
    <row r="34" spans="1:20" s="384" customFormat="1" ht="12.75" customHeight="1">
      <c r="A34" s="390" t="s">
        <v>52</v>
      </c>
      <c r="B34" s="391">
        <v>875</v>
      </c>
      <c r="C34" s="391">
        <v>11</v>
      </c>
      <c r="D34" s="391">
        <v>46</v>
      </c>
      <c r="E34" s="391">
        <v>2272</v>
      </c>
      <c r="F34" s="391">
        <v>795</v>
      </c>
      <c r="G34" s="391">
        <v>18854</v>
      </c>
      <c r="H34" s="391">
        <v>118</v>
      </c>
      <c r="I34" s="391">
        <v>121</v>
      </c>
      <c r="J34" s="391">
        <v>451</v>
      </c>
      <c r="K34" s="391">
        <v>83</v>
      </c>
      <c r="L34" s="397">
        <v>23624</v>
      </c>
      <c r="M34" s="381">
        <f t="shared" si="2"/>
        <v>23626</v>
      </c>
      <c r="N34" s="381">
        <f t="shared" si="0"/>
        <v>-2</v>
      </c>
      <c r="O34" s="381">
        <f t="shared" si="1"/>
        <v>921</v>
      </c>
      <c r="P34" s="381">
        <f t="shared" si="3"/>
        <v>3078</v>
      </c>
      <c r="Q34" s="381">
        <f t="shared" si="4"/>
        <v>19627</v>
      </c>
      <c r="R34" s="148">
        <f t="shared" si="5"/>
        <v>38071</v>
      </c>
      <c r="S34" s="308">
        <f t="shared" si="6"/>
        <v>2.1643916158699851E-2</v>
      </c>
      <c r="T34" s="381">
        <f t="shared" si="7"/>
        <v>2</v>
      </c>
    </row>
    <row r="35" spans="1:20" s="148" customFormat="1" ht="12.75" customHeight="1">
      <c r="A35" s="390" t="s">
        <v>41</v>
      </c>
      <c r="B35" s="391">
        <v>260</v>
      </c>
      <c r="C35" s="391">
        <v>22</v>
      </c>
      <c r="D35" s="391">
        <v>15</v>
      </c>
      <c r="E35" s="391">
        <v>1827</v>
      </c>
      <c r="F35" s="391">
        <v>762</v>
      </c>
      <c r="G35" s="391">
        <v>9089</v>
      </c>
      <c r="H35" s="391">
        <v>648</v>
      </c>
      <c r="I35" s="391">
        <v>314</v>
      </c>
      <c r="J35" s="391">
        <v>934</v>
      </c>
      <c r="K35" s="391">
        <v>80</v>
      </c>
      <c r="L35" s="397">
        <v>13950</v>
      </c>
      <c r="M35" s="381">
        <f t="shared" si="2"/>
        <v>13951</v>
      </c>
      <c r="N35" s="381">
        <f t="shared" si="0"/>
        <v>-1</v>
      </c>
      <c r="O35" s="381">
        <f t="shared" si="1"/>
        <v>275</v>
      </c>
      <c r="P35" s="381">
        <f t="shared" si="3"/>
        <v>2611</v>
      </c>
      <c r="Q35" s="381">
        <f t="shared" si="4"/>
        <v>11065</v>
      </c>
      <c r="R35" s="148">
        <f t="shared" si="5"/>
        <v>21648</v>
      </c>
      <c r="S35" s="308">
        <f t="shared" si="6"/>
        <v>1.2307202253776742E-2</v>
      </c>
      <c r="T35" s="381">
        <f t="shared" si="7"/>
        <v>1</v>
      </c>
    </row>
    <row r="36" spans="1:20" s="148" customFormat="1" ht="12.75" customHeight="1">
      <c r="A36" s="390" t="s">
        <v>82</v>
      </c>
      <c r="B36" s="391">
        <v>2945</v>
      </c>
      <c r="C36" s="392">
        <v>72</v>
      </c>
      <c r="D36" s="391">
        <v>677</v>
      </c>
      <c r="E36" s="391">
        <v>7208</v>
      </c>
      <c r="F36" s="391">
        <v>821</v>
      </c>
      <c r="G36" s="391">
        <v>28732</v>
      </c>
      <c r="H36" s="391">
        <v>0</v>
      </c>
      <c r="I36" s="391">
        <v>108</v>
      </c>
      <c r="J36" s="392">
        <v>3</v>
      </c>
      <c r="K36" s="391">
        <v>350</v>
      </c>
      <c r="L36" s="397">
        <v>40916</v>
      </c>
      <c r="M36" s="381">
        <f t="shared" si="2"/>
        <v>40916</v>
      </c>
      <c r="N36" s="381">
        <f t="shared" si="0"/>
        <v>0</v>
      </c>
      <c r="O36" s="381">
        <f t="shared" si="1"/>
        <v>3622</v>
      </c>
      <c r="P36" s="381">
        <f t="shared" si="3"/>
        <v>8101</v>
      </c>
      <c r="Q36" s="381">
        <f t="shared" si="4"/>
        <v>29193</v>
      </c>
      <c r="R36" s="148">
        <f t="shared" si="5"/>
        <v>89716</v>
      </c>
      <c r="S36" s="308">
        <f t="shared" si="6"/>
        <v>5.100484836473735E-2</v>
      </c>
      <c r="T36" s="381">
        <f t="shared" si="7"/>
        <v>0</v>
      </c>
    </row>
    <row r="37" spans="1:20" s="148" customFormat="1" ht="12.75" customHeight="1">
      <c r="A37" s="390" t="s">
        <v>54</v>
      </c>
      <c r="B37" s="391">
        <v>732</v>
      </c>
      <c r="C37" s="391">
        <v>0</v>
      </c>
      <c r="D37" s="391">
        <v>51</v>
      </c>
      <c r="E37" s="391">
        <v>1520</v>
      </c>
      <c r="F37" s="391">
        <v>864</v>
      </c>
      <c r="G37" s="391">
        <v>12180</v>
      </c>
      <c r="H37" s="391">
        <v>374</v>
      </c>
      <c r="I37" s="391">
        <v>847</v>
      </c>
      <c r="J37" s="391">
        <v>539</v>
      </c>
      <c r="K37" s="391">
        <v>0</v>
      </c>
      <c r="L37" s="397">
        <v>17108</v>
      </c>
      <c r="M37" s="381">
        <f t="shared" si="2"/>
        <v>17107</v>
      </c>
      <c r="N37" s="381">
        <f t="shared" si="0"/>
        <v>1</v>
      </c>
      <c r="O37" s="381">
        <f t="shared" si="1"/>
        <v>783</v>
      </c>
      <c r="P37" s="381">
        <f t="shared" si="3"/>
        <v>2384</v>
      </c>
      <c r="Q37" s="381">
        <f t="shared" si="4"/>
        <v>13940</v>
      </c>
      <c r="R37" s="148">
        <f t="shared" si="5"/>
        <v>28922</v>
      </c>
      <c r="S37" s="308">
        <f t="shared" si="6"/>
        <v>1.6442576846994222E-2</v>
      </c>
      <c r="T37" s="381">
        <f t="shared" si="7"/>
        <v>-1</v>
      </c>
    </row>
    <row r="38" spans="1:20" s="148" customFormat="1" ht="12.75" customHeight="1">
      <c r="A38" s="390" t="s">
        <v>21</v>
      </c>
      <c r="B38" s="391">
        <v>834</v>
      </c>
      <c r="C38" s="391">
        <v>0</v>
      </c>
      <c r="D38" s="391">
        <v>118</v>
      </c>
      <c r="E38" s="391">
        <v>4870</v>
      </c>
      <c r="F38" s="391">
        <v>817</v>
      </c>
      <c r="G38" s="391">
        <v>18564</v>
      </c>
      <c r="H38" s="391">
        <v>0</v>
      </c>
      <c r="I38" s="391">
        <v>17</v>
      </c>
      <c r="J38" s="391">
        <v>487</v>
      </c>
      <c r="K38" s="391">
        <v>71</v>
      </c>
      <c r="L38" s="397">
        <v>25777</v>
      </c>
      <c r="M38" s="381">
        <f t="shared" si="2"/>
        <v>25778</v>
      </c>
      <c r="N38" s="381">
        <f t="shared" si="0"/>
        <v>-1</v>
      </c>
      <c r="O38" s="381">
        <f t="shared" si="1"/>
        <v>952</v>
      </c>
      <c r="P38" s="381">
        <f t="shared" si="3"/>
        <v>5687</v>
      </c>
      <c r="Q38" s="381">
        <f t="shared" si="4"/>
        <v>19139</v>
      </c>
      <c r="R38" s="148">
        <f t="shared" si="5"/>
        <v>45720</v>
      </c>
      <c r="S38" s="308">
        <f t="shared" si="6"/>
        <v>2.5992483695614962E-2</v>
      </c>
      <c r="T38" s="381">
        <f t="shared" si="7"/>
        <v>1</v>
      </c>
    </row>
    <row r="39" spans="1:20" s="148" customFormat="1" ht="12.75" customHeight="1">
      <c r="A39" s="390" t="s">
        <v>42</v>
      </c>
      <c r="B39" s="391">
        <v>124</v>
      </c>
      <c r="C39" s="391">
        <v>0</v>
      </c>
      <c r="D39" s="392">
        <v>14</v>
      </c>
      <c r="E39" s="391">
        <v>200</v>
      </c>
      <c r="F39" s="391">
        <v>195</v>
      </c>
      <c r="G39" s="391">
        <v>5374</v>
      </c>
      <c r="H39" s="391">
        <v>35</v>
      </c>
      <c r="I39" s="392">
        <v>3</v>
      </c>
      <c r="J39" s="391">
        <v>432</v>
      </c>
      <c r="K39" s="391">
        <v>187</v>
      </c>
      <c r="L39" s="397">
        <v>6564</v>
      </c>
      <c r="M39" s="381">
        <f t="shared" si="2"/>
        <v>6564</v>
      </c>
      <c r="N39" s="381">
        <f t="shared" si="0"/>
        <v>0</v>
      </c>
      <c r="O39" s="381">
        <f t="shared" si="1"/>
        <v>138</v>
      </c>
      <c r="P39" s="381">
        <f t="shared" si="3"/>
        <v>395</v>
      </c>
      <c r="Q39" s="381">
        <f t="shared" si="4"/>
        <v>6031</v>
      </c>
      <c r="R39" s="148">
        <f t="shared" si="5"/>
        <v>8596</v>
      </c>
      <c r="S39" s="308">
        <f t="shared" si="6"/>
        <v>4.8869507840661897E-3</v>
      </c>
      <c r="T39" s="381">
        <f t="shared" si="7"/>
        <v>0</v>
      </c>
    </row>
    <row r="40" spans="1:20" s="148" customFormat="1" ht="12.75" customHeight="1">
      <c r="A40" s="390" t="s">
        <v>83</v>
      </c>
      <c r="B40" s="391">
        <v>1480</v>
      </c>
      <c r="C40" s="392">
        <v>51</v>
      </c>
      <c r="D40" s="391">
        <v>155</v>
      </c>
      <c r="E40" s="391">
        <v>1582</v>
      </c>
      <c r="F40" s="391">
        <v>448</v>
      </c>
      <c r="G40" s="391">
        <v>16473</v>
      </c>
      <c r="H40" s="391">
        <v>0</v>
      </c>
      <c r="I40" s="391">
        <v>138</v>
      </c>
      <c r="J40" s="391">
        <v>57</v>
      </c>
      <c r="K40" s="392">
        <v>3</v>
      </c>
      <c r="L40" s="397">
        <v>20387</v>
      </c>
      <c r="M40" s="381">
        <f t="shared" si="2"/>
        <v>20387</v>
      </c>
      <c r="N40" s="381">
        <f t="shared" si="0"/>
        <v>0</v>
      </c>
      <c r="O40" s="381">
        <f t="shared" si="1"/>
        <v>1635</v>
      </c>
      <c r="P40" s="381">
        <f t="shared" si="3"/>
        <v>2081</v>
      </c>
      <c r="Q40" s="381">
        <f t="shared" si="4"/>
        <v>16671</v>
      </c>
      <c r="R40" s="148">
        <f t="shared" si="5"/>
        <v>39264</v>
      </c>
      <c r="S40" s="308">
        <f t="shared" si="6"/>
        <v>2.2322153976916576E-2</v>
      </c>
      <c r="T40" s="381">
        <f t="shared" si="7"/>
        <v>0</v>
      </c>
    </row>
    <row r="41" spans="1:20" s="148" customFormat="1" ht="12.75" customHeight="1">
      <c r="A41" s="390" t="s">
        <v>22</v>
      </c>
      <c r="B41" s="391">
        <v>651</v>
      </c>
      <c r="C41" s="391">
        <v>0</v>
      </c>
      <c r="D41" s="391">
        <v>57</v>
      </c>
      <c r="E41" s="391">
        <v>3058</v>
      </c>
      <c r="F41" s="391">
        <v>269</v>
      </c>
      <c r="G41" s="391">
        <v>24816</v>
      </c>
      <c r="H41" s="391">
        <v>5</v>
      </c>
      <c r="I41" s="391">
        <v>807</v>
      </c>
      <c r="J41" s="391">
        <v>354</v>
      </c>
      <c r="K41" s="391">
        <v>162</v>
      </c>
      <c r="L41" s="397">
        <v>30179</v>
      </c>
      <c r="M41" s="381">
        <f t="shared" si="2"/>
        <v>30179</v>
      </c>
      <c r="N41" s="381">
        <f t="shared" si="0"/>
        <v>0</v>
      </c>
      <c r="O41" s="381">
        <f t="shared" si="1"/>
        <v>708</v>
      </c>
      <c r="P41" s="381">
        <f t="shared" si="3"/>
        <v>3327</v>
      </c>
      <c r="Q41" s="381">
        <f t="shared" si="4"/>
        <v>26144</v>
      </c>
      <c r="R41" s="148">
        <f t="shared" si="5"/>
        <v>43205</v>
      </c>
      <c r="S41" s="308">
        <f t="shared" si="6"/>
        <v>2.4562669686549528E-2</v>
      </c>
      <c r="T41" s="381">
        <f t="shared" si="7"/>
        <v>0</v>
      </c>
    </row>
    <row r="42" spans="1:20" s="148" customFormat="1" ht="12.75" customHeight="1">
      <c r="A42" s="390" t="s">
        <v>23</v>
      </c>
      <c r="B42" s="391">
        <v>1081</v>
      </c>
      <c r="C42" s="392">
        <v>3</v>
      </c>
      <c r="D42" s="391">
        <v>173</v>
      </c>
      <c r="E42" s="391">
        <v>2880</v>
      </c>
      <c r="F42" s="391">
        <v>757</v>
      </c>
      <c r="G42" s="391">
        <v>16476</v>
      </c>
      <c r="H42" s="391">
        <v>0</v>
      </c>
      <c r="I42" s="392">
        <v>13</v>
      </c>
      <c r="J42" s="391">
        <v>337</v>
      </c>
      <c r="K42" s="391">
        <v>318</v>
      </c>
      <c r="L42" s="397">
        <v>22038</v>
      </c>
      <c r="M42" s="381">
        <f t="shared" si="2"/>
        <v>22038</v>
      </c>
      <c r="N42" s="381">
        <f t="shared" si="0"/>
        <v>0</v>
      </c>
      <c r="O42" s="381">
        <f t="shared" si="1"/>
        <v>1254</v>
      </c>
      <c r="P42" s="381">
        <f t="shared" si="3"/>
        <v>3640</v>
      </c>
      <c r="Q42" s="381">
        <f t="shared" si="4"/>
        <v>17144</v>
      </c>
      <c r="R42" s="148">
        <f t="shared" si="5"/>
        <v>40604</v>
      </c>
      <c r="S42" s="308">
        <f t="shared" si="6"/>
        <v>2.308396342906277E-2</v>
      </c>
      <c r="T42" s="381">
        <f t="shared" si="7"/>
        <v>0</v>
      </c>
    </row>
    <row r="43" spans="1:20" s="148" customFormat="1" ht="12.75" customHeight="1">
      <c r="A43" s="390" t="s">
        <v>33</v>
      </c>
      <c r="B43" s="391">
        <v>514</v>
      </c>
      <c r="C43" s="391">
        <v>14</v>
      </c>
      <c r="D43" s="391">
        <v>40</v>
      </c>
      <c r="E43" s="391">
        <v>1495</v>
      </c>
      <c r="F43" s="391">
        <v>781</v>
      </c>
      <c r="G43" s="391">
        <v>15527</v>
      </c>
      <c r="H43" s="391">
        <v>10</v>
      </c>
      <c r="I43" s="391">
        <v>192</v>
      </c>
      <c r="J43" s="391">
        <v>327</v>
      </c>
      <c r="K43" s="391">
        <v>201</v>
      </c>
      <c r="L43" s="397">
        <v>19101</v>
      </c>
      <c r="M43" s="381">
        <f t="shared" si="2"/>
        <v>19101</v>
      </c>
      <c r="N43" s="381">
        <f t="shared" si="0"/>
        <v>0</v>
      </c>
      <c r="O43" s="381">
        <f t="shared" si="1"/>
        <v>554</v>
      </c>
      <c r="P43" s="381">
        <f t="shared" si="3"/>
        <v>2290</v>
      </c>
      <c r="Q43" s="381">
        <f t="shared" si="4"/>
        <v>16257</v>
      </c>
      <c r="R43" s="148">
        <f t="shared" si="5"/>
        <v>28667</v>
      </c>
      <c r="S43" s="308">
        <f t="shared" si="6"/>
        <v>1.6297605645279836E-2</v>
      </c>
      <c r="T43" s="381">
        <f t="shared" si="7"/>
        <v>0</v>
      </c>
    </row>
    <row r="44" spans="1:20" s="148" customFormat="1" ht="12.75" customHeight="1" thickBot="1">
      <c r="A44" s="407" t="s">
        <v>10</v>
      </c>
      <c r="B44" s="259">
        <f>SUM(B5:B43)</f>
        <v>37768</v>
      </c>
      <c r="C44" s="259">
        <f t="shared" ref="C44:K44" si="8">SUM(C5:C43)</f>
        <v>791</v>
      </c>
      <c r="D44" s="259">
        <f t="shared" si="8"/>
        <v>4684</v>
      </c>
      <c r="E44" s="259">
        <f t="shared" si="8"/>
        <v>103588</v>
      </c>
      <c r="F44" s="259">
        <f t="shared" si="8"/>
        <v>30145</v>
      </c>
      <c r="G44" s="259">
        <f t="shared" si="8"/>
        <v>649529</v>
      </c>
      <c r="H44" s="259">
        <f t="shared" si="8"/>
        <v>5983</v>
      </c>
      <c r="I44" s="259">
        <f t="shared" si="8"/>
        <v>8731</v>
      </c>
      <c r="J44" s="259">
        <f t="shared" si="8"/>
        <v>10885</v>
      </c>
      <c r="K44" s="259">
        <f t="shared" si="8"/>
        <v>6393</v>
      </c>
      <c r="L44" s="261">
        <f>SUM(B44:K44)</f>
        <v>858497</v>
      </c>
      <c r="M44" s="259"/>
      <c r="N44" s="259"/>
      <c r="O44" s="259">
        <f>SUM(O5:O43)</f>
        <v>42452</v>
      </c>
      <c r="P44" s="259">
        <f>SUM(P5:P43)</f>
        <v>134524</v>
      </c>
      <c r="Q44" s="259">
        <f>SUM(Q5:Q43)</f>
        <v>681521</v>
      </c>
      <c r="R44" s="259">
        <f>SUM(R5:R43)</f>
        <v>1509613</v>
      </c>
      <c r="S44" s="344">
        <f>SUM(S5:S43)</f>
        <v>0.85823690483789139</v>
      </c>
      <c r="T44" s="259"/>
    </row>
    <row r="45" spans="1:20" s="148" customFormat="1" ht="12.75" customHeight="1">
      <c r="A45" s="182" t="s">
        <v>161</v>
      </c>
      <c r="B45" s="393">
        <f>'Table 4.1 2011'!B44</f>
        <v>36123</v>
      </c>
      <c r="C45" s="393">
        <f>'Table 4.1 2011'!C44</f>
        <v>869</v>
      </c>
      <c r="D45" s="393">
        <f>'Table 4.1 2011'!D44</f>
        <v>4926</v>
      </c>
      <c r="E45" s="393">
        <f>'Table 4.1 2011'!E44</f>
        <v>101182</v>
      </c>
      <c r="F45" s="393">
        <f>'Table 4.1 2011'!F44</f>
        <v>30255</v>
      </c>
      <c r="G45" s="393">
        <f>'Table 4.1 2011'!G44</f>
        <v>632718</v>
      </c>
      <c r="H45" s="393">
        <f>'Table 4.1 2011'!H44</f>
        <v>5264</v>
      </c>
      <c r="I45" s="393">
        <f>'Table 4.1 2011'!I44</f>
        <v>7826</v>
      </c>
      <c r="J45" s="393">
        <f>'Table 4.1 2011'!J44</f>
        <v>9910</v>
      </c>
      <c r="K45" s="393">
        <f>'Table 4.1 2011'!K44</f>
        <v>6921</v>
      </c>
      <c r="L45" s="398">
        <f>'Table 4.1 2011'!L45</f>
        <v>817044</v>
      </c>
      <c r="O45" s="148">
        <f>'Table 4.1 2011'!O44</f>
        <v>41049</v>
      </c>
      <c r="P45" s="148">
        <f>'Table 4.1 2011'!P44</f>
        <v>132306</v>
      </c>
      <c r="Q45" s="148">
        <f>'Table 4.1 2011'!Q44</f>
        <v>662639</v>
      </c>
      <c r="R45" s="148">
        <f>'Table 4.1 2011'!R44</f>
        <v>1470047</v>
      </c>
    </row>
    <row r="46" spans="1:20" s="148" customFormat="1" ht="12.75" customHeight="1">
      <c r="A46" s="182" t="s">
        <v>303</v>
      </c>
      <c r="B46" s="399">
        <f>(B44-B45)/B45</f>
        <v>4.5538853362123856E-2</v>
      </c>
      <c r="C46" s="399">
        <f t="shared" ref="C46:R46" si="9">(C44-C45)/C45</f>
        <v>-8.9758342922899886E-2</v>
      </c>
      <c r="D46" s="399">
        <f t="shared" si="9"/>
        <v>-4.912708079577751E-2</v>
      </c>
      <c r="E46" s="399">
        <f t="shared" si="9"/>
        <v>2.3778933011800518E-2</v>
      </c>
      <c r="F46" s="399">
        <f t="shared" si="9"/>
        <v>-3.6357626838539082E-3</v>
      </c>
      <c r="G46" s="399">
        <f t="shared" si="9"/>
        <v>2.6569498575984878E-2</v>
      </c>
      <c r="H46" s="399">
        <f t="shared" si="9"/>
        <v>0.13658814589665655</v>
      </c>
      <c r="I46" s="399">
        <f t="shared" si="9"/>
        <v>0.11564017377970866</v>
      </c>
      <c r="J46" s="399">
        <f t="shared" si="9"/>
        <v>9.838546922300706E-2</v>
      </c>
      <c r="K46" s="399">
        <f t="shared" si="9"/>
        <v>-7.6289553532726484E-2</v>
      </c>
      <c r="L46" s="400">
        <f t="shared" si="9"/>
        <v>5.0735333715197714E-2</v>
      </c>
      <c r="M46" s="399"/>
      <c r="N46" s="399"/>
      <c r="O46" s="399">
        <f t="shared" si="9"/>
        <v>3.417866452288728E-2</v>
      </c>
      <c r="P46" s="399">
        <f t="shared" si="9"/>
        <v>1.6764167913775642E-2</v>
      </c>
      <c r="Q46" s="399">
        <f t="shared" si="9"/>
        <v>2.8495153469687114E-2</v>
      </c>
      <c r="R46" s="399">
        <f t="shared" si="9"/>
        <v>2.6914785717735555E-2</v>
      </c>
    </row>
    <row r="47" spans="1:20" ht="12.75" customHeight="1"/>
    <row r="48" spans="1:20" ht="12.75" customHeight="1">
      <c r="A48" s="395" t="s">
        <v>223</v>
      </c>
    </row>
    <row r="49" spans="1:20" s="394" customFormat="1" ht="12.75" customHeight="1">
      <c r="A49" s="316" t="str">
        <f>'NZ EFT08-2011'!$B$54</f>
        <v>Auckland University of Technology</v>
      </c>
      <c r="B49" s="376"/>
      <c r="C49" s="376"/>
      <c r="D49" s="376"/>
      <c r="E49" s="376"/>
      <c r="F49" s="376"/>
      <c r="G49" s="376"/>
      <c r="H49" s="376"/>
      <c r="I49" s="376"/>
      <c r="J49" s="376"/>
      <c r="K49" s="376"/>
      <c r="L49" s="500">
        <f>SUM(O49:Q490)</f>
        <v>1262503.5883999998</v>
      </c>
      <c r="M49" s="396"/>
      <c r="N49" s="376"/>
      <c r="O49" s="396">
        <f>'NZ EFT.35 2006-13'!Q220</f>
        <v>351.90569999999997</v>
      </c>
      <c r="P49" s="396">
        <f>'NZ EFT.35 2006-13'!R220</f>
        <v>2515.1869999999999</v>
      </c>
      <c r="Q49" s="396">
        <f>'NZ EFT.35 2006-13'!S220</f>
        <v>15898.648100000009</v>
      </c>
      <c r="R49" s="396">
        <f>'NZ EFT.35 2006-13'!T220</f>
        <v>26963.266100000008</v>
      </c>
      <c r="S49" s="308">
        <f>SUM(R49/($R$44+$R$57))</f>
        <v>1.532900819083066E-2</v>
      </c>
      <c r="T49" s="376"/>
    </row>
    <row r="50" spans="1:20" s="394" customFormat="1" ht="12.75" customHeight="1">
      <c r="A50" s="316" t="str">
        <f>'NZ EFT08-2011'!$B$40</f>
        <v>Lincoln University</v>
      </c>
      <c r="B50" s="376"/>
      <c r="C50" s="376"/>
      <c r="D50" s="376"/>
      <c r="E50" s="376"/>
      <c r="F50" s="376"/>
      <c r="G50" s="376"/>
      <c r="H50" s="376"/>
      <c r="I50" s="376"/>
      <c r="J50" s="376"/>
      <c r="K50" s="376"/>
      <c r="L50" s="500">
        <f t="shared" ref="L50:L56" si="10">SUM(O50:Q491)</f>
        <v>1243737.8475999997</v>
      </c>
      <c r="M50" s="396"/>
      <c r="N50" s="376"/>
      <c r="O50" s="396">
        <f>'NZ EFT.35 2006-13'!Q166</f>
        <v>191.95830000000001</v>
      </c>
      <c r="P50" s="396">
        <f>'NZ EFT.35 2006-13'!R166</f>
        <v>274.6816</v>
      </c>
      <c r="Q50" s="396">
        <f>'NZ EFT.35 2006-13'!S166</f>
        <v>3094.9740000000002</v>
      </c>
      <c r="R50" s="396">
        <f>'NZ EFT.35 2006-13'!T166</f>
        <v>5838.6018000000004</v>
      </c>
      <c r="S50" s="308">
        <f t="shared" ref="S50:S56" si="11">SUM(R50/($R$44+$R$57))</f>
        <v>3.3193298795207386E-3</v>
      </c>
      <c r="T50" s="376"/>
    </row>
    <row r="51" spans="1:20" s="394" customFormat="1" ht="12.75" customHeight="1">
      <c r="A51" s="316" t="str">
        <f>'NZ EFT08-2011'!$B$19</f>
        <v>Massey University</v>
      </c>
      <c r="B51" s="376"/>
      <c r="C51" s="376"/>
      <c r="D51" s="376"/>
      <c r="E51" s="376"/>
      <c r="F51" s="376"/>
      <c r="G51" s="376"/>
      <c r="H51" s="376"/>
      <c r="I51" s="376"/>
      <c r="J51" s="376"/>
      <c r="K51" s="376"/>
      <c r="L51" s="500">
        <f t="shared" si="10"/>
        <v>1240176.2336999997</v>
      </c>
      <c r="M51" s="396"/>
      <c r="N51" s="376"/>
      <c r="O51" s="396">
        <f>'NZ EFT.35 2006-13'!Q85</f>
        <v>1156.7569000000003</v>
      </c>
      <c r="P51" s="396">
        <f>'NZ EFT.35 2006-13'!R85</f>
        <v>5839.503099999999</v>
      </c>
      <c r="Q51" s="396">
        <f>'NZ EFT.35 2006-13'!S85</f>
        <v>12681.938799999987</v>
      </c>
      <c r="R51" s="396">
        <f>'NZ EFT.35 2006-13'!T85</f>
        <v>41768.01709999999</v>
      </c>
      <c r="S51" s="308">
        <f t="shared" si="11"/>
        <v>2.3745724047898438E-2</v>
      </c>
      <c r="T51" s="376"/>
    </row>
    <row r="52" spans="1:20" s="394" customFormat="1" ht="12.75" customHeight="1">
      <c r="A52" s="316" t="str">
        <f>'NZ EFT08-2011'!$B$5</f>
        <v>University of Auckland</v>
      </c>
      <c r="B52" s="376"/>
      <c r="C52" s="376"/>
      <c r="D52" s="376"/>
      <c r="E52" s="376"/>
      <c r="F52" s="376"/>
      <c r="G52" s="376"/>
      <c r="H52" s="376"/>
      <c r="I52" s="376"/>
      <c r="J52" s="376"/>
      <c r="K52" s="376"/>
      <c r="L52" s="500">
        <f t="shared" si="10"/>
        <v>1220498.0348999999</v>
      </c>
      <c r="M52" s="396"/>
      <c r="N52" s="376"/>
      <c r="O52" s="396">
        <f>'NZ EFT.35 2006-13'!Q32</f>
        <v>1794.2705000000003</v>
      </c>
      <c r="P52" s="396">
        <f>'NZ EFT.35 2006-13'!R32</f>
        <v>8238.444200000009</v>
      </c>
      <c r="Q52" s="396">
        <f>'NZ EFT.35 2006-13'!S32</f>
        <v>22995.508499999982</v>
      </c>
      <c r="R52" s="396">
        <f>'NZ EFT.35 2006-13'!T32</f>
        <v>65653.546100000007</v>
      </c>
      <c r="S52" s="308">
        <f t="shared" si="11"/>
        <v>3.7324994019325361E-2</v>
      </c>
      <c r="T52" s="376"/>
    </row>
    <row r="53" spans="1:20" s="394" customFormat="1" ht="12.75" customHeight="1">
      <c r="A53" s="316" t="str">
        <f>'NZ EFT08-2011'!$B$33</f>
        <v>University of Canterbury</v>
      </c>
      <c r="B53" s="376"/>
      <c r="C53" s="376"/>
      <c r="D53" s="376"/>
      <c r="E53" s="376"/>
      <c r="F53" s="376"/>
      <c r="G53" s="376"/>
      <c r="H53" s="376"/>
      <c r="I53" s="376"/>
      <c r="J53" s="376"/>
      <c r="K53" s="376"/>
      <c r="L53" s="500">
        <f t="shared" si="10"/>
        <v>1187469.8116999997</v>
      </c>
      <c r="M53" s="396"/>
      <c r="N53" s="376"/>
      <c r="O53" s="396">
        <f>'NZ EFT.35 2006-13'!Q139</f>
        <v>744.18589999999995</v>
      </c>
      <c r="P53" s="396">
        <f>'NZ EFT.35 2006-13'!R139</f>
        <v>3892.1019000000001</v>
      </c>
      <c r="Q53" s="396">
        <f>'NZ EFT.35 2006-13'!S139</f>
        <v>8450.9200999999994</v>
      </c>
      <c r="R53" s="396">
        <f>'NZ EFT.35 2006-13'!T139</f>
        <v>27569.084800000001</v>
      </c>
      <c r="S53" s="308">
        <f t="shared" si="11"/>
        <v>1.5673424916164178E-2</v>
      </c>
      <c r="T53" s="376"/>
    </row>
    <row r="54" spans="1:20">
      <c r="A54" s="316" t="str">
        <f>'NZ EFT08-2011'!$B$47</f>
        <v>University of Otago</v>
      </c>
      <c r="L54" s="500">
        <f t="shared" si="10"/>
        <v>1174382.6037999997</v>
      </c>
      <c r="M54" s="396"/>
      <c r="O54" s="396">
        <f>'NZ EFT.35 2006-13'!Q193</f>
        <v>1127.5497</v>
      </c>
      <c r="P54" s="396">
        <f>'NZ EFT.35 2006-13'!R193</f>
        <v>2353.5062999999996</v>
      </c>
      <c r="Q54" s="396">
        <f>'NZ EFT.35 2006-13'!S193</f>
        <v>15680.292100000059</v>
      </c>
      <c r="R54" s="396">
        <f>'NZ EFT.35 2006-13'!T193</f>
        <v>34016.308000000055</v>
      </c>
      <c r="S54" s="308">
        <f t="shared" si="11"/>
        <v>1.933876489665394E-2</v>
      </c>
    </row>
    <row r="55" spans="1:20">
      <c r="A55" s="316" t="str">
        <f>'NZ EFT08-2011'!$B$12</f>
        <v>University of Waikato</v>
      </c>
      <c r="L55" s="500">
        <f t="shared" si="10"/>
        <v>1155221.2556999996</v>
      </c>
      <c r="M55" s="396"/>
      <c r="O55" s="396">
        <f>'NZ EFT.35 2006-13'!Q58</f>
        <v>484.72149999999999</v>
      </c>
      <c r="P55" s="396">
        <f>'NZ EFT.35 2006-13'!R58</f>
        <v>1868.5266000000006</v>
      </c>
      <c r="Q55" s="396">
        <f>'NZ EFT.35 2006-13'!S58</f>
        <v>7811.6783999999534</v>
      </c>
      <c r="R55" s="396">
        <f>'NZ EFT.35 2006-13'!T58</f>
        <v>18264.473199999957</v>
      </c>
      <c r="S55" s="308">
        <f t="shared" si="11"/>
        <v>1.0383618150918532E-2</v>
      </c>
    </row>
    <row r="56" spans="1:20">
      <c r="A56" s="316" t="str">
        <f>'NZ EFT08-2011'!$B$26</f>
        <v>Victoria University of Wellington</v>
      </c>
      <c r="L56" s="500">
        <f t="shared" si="10"/>
        <v>1145056.3291999996</v>
      </c>
      <c r="M56" s="396"/>
      <c r="O56" s="396">
        <f>'NZ EFT.35 2006-13'!Q112</f>
        <v>738.93420000000003</v>
      </c>
      <c r="P56" s="396">
        <f>'NZ EFT.35 2006-13'!R112</f>
        <v>2705.8641000000002</v>
      </c>
      <c r="Q56" s="396">
        <f>'NZ EFT.35 2006-13'!S112</f>
        <v>13776.80529999992</v>
      </c>
      <c r="R56" s="396">
        <f>'NZ EFT.35 2006-13'!T112</f>
        <v>29283.739599999921</v>
      </c>
      <c r="S56" s="308">
        <f t="shared" si="11"/>
        <v>1.6648231060796853E-2</v>
      </c>
    </row>
    <row r="57" spans="1:20" ht="12" thickBot="1">
      <c r="A57" s="407" t="s">
        <v>134</v>
      </c>
      <c r="B57" s="492"/>
      <c r="C57" s="492"/>
      <c r="D57" s="492"/>
      <c r="E57" s="492"/>
      <c r="F57" s="492"/>
      <c r="G57" s="492"/>
      <c r="H57" s="492"/>
      <c r="I57" s="492"/>
      <c r="J57" s="492"/>
      <c r="K57" s="492"/>
      <c r="L57" s="501">
        <f>SUM(L49:L56)</f>
        <v>9629045.7049999982</v>
      </c>
      <c r="M57" s="259"/>
      <c r="N57" s="259"/>
      <c r="O57" s="259">
        <f>SUM(O49:O56)</f>
        <v>6590.2826999999997</v>
      </c>
      <c r="P57" s="259">
        <f>SUM(P49:P56)</f>
        <v>27687.814800000011</v>
      </c>
      <c r="Q57" s="259">
        <f>SUM(Q49:Q56)</f>
        <v>100390.76529999991</v>
      </c>
      <c r="R57" s="259">
        <f>SUM(R49:R56)</f>
        <v>249357.03669999994</v>
      </c>
      <c r="S57" s="344">
        <f>SUM(S49:S56)</f>
        <v>0.14176309516210869</v>
      </c>
    </row>
    <row r="58" spans="1:20">
      <c r="L58" s="515"/>
      <c r="M58" s="515"/>
      <c r="N58" s="515"/>
      <c r="O58" s="515"/>
      <c r="P58" s="515"/>
      <c r="Q58" s="515"/>
      <c r="R58" s="515"/>
      <c r="S58" s="515"/>
    </row>
    <row r="59" spans="1:20">
      <c r="A59" s="316" t="s">
        <v>132</v>
      </c>
      <c r="L59" s="516">
        <f>L44+L57</f>
        <v>10487542.704999998</v>
      </c>
      <c r="M59" s="516"/>
      <c r="N59" s="516"/>
      <c r="O59" s="516">
        <f>O44+O57</f>
        <v>49042.282699999996</v>
      </c>
      <c r="P59" s="516">
        <f>P44+P57</f>
        <v>162211.81480000002</v>
      </c>
      <c r="Q59" s="516">
        <f>Q44+Q57</f>
        <v>781911.76529999985</v>
      </c>
      <c r="R59" s="516">
        <f>R44+R57</f>
        <v>1758970.0367000001</v>
      </c>
      <c r="S59" s="517">
        <f>S44+S57</f>
        <v>1</v>
      </c>
    </row>
  </sheetData>
  <autoFilter ref="B4:T4" xr:uid="{00000000-0009-0000-0000-000012000000}"/>
  <hyperlinks>
    <hyperlink ref="A1" location="Index!A1" display="&lt; Back to Index &gt;" xr:uid="{00000000-0004-0000-1200-000000000000}"/>
    <hyperlink ref="T1" location="'Ave weight 1996-2013'!A1" display="Ave weight 1996-2013" xr:uid="{00000000-0004-0000-1200-000001000000}"/>
  </hyperlinks>
  <pageMargins left="0.39370078740157483" right="0.31496062992125984" top="0.59055118110236227" bottom="0.39370078740157483" header="0" footer="0"/>
  <pageSetup scale="64" orientation="landscape" r:id="rId1"/>
  <headerFooter alignWithMargins="0"/>
  <ignoredErrors>
    <ignoredError sqref="M5:M32 M33:M43" formulaRange="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dimension ref="A1:IV65"/>
  <sheetViews>
    <sheetView showGridLines="0" zoomScaleNormal="100" workbookViewId="0">
      <pane xSplit="1" ySplit="4" topLeftCell="F5" activePane="bottomRight" state="frozen"/>
      <selection pane="topRight" activeCell="B1" sqref="B1"/>
      <selection pane="bottomLeft" activeCell="A5" sqref="A5"/>
      <selection pane="bottomRight" activeCell="G2" sqref="G2"/>
    </sheetView>
  </sheetViews>
  <sheetFormatPr defaultColWidth="9.140625" defaultRowHeight="11.25"/>
  <cols>
    <col min="1" max="1" width="31.28515625" style="591" customWidth="1"/>
    <col min="2" max="3" width="12.140625" style="543" bestFit="1" customWidth="1"/>
    <col min="4" max="4" width="10.85546875" style="544" bestFit="1" customWidth="1"/>
    <col min="5" max="5" width="11.28515625" style="543" bestFit="1" customWidth="1"/>
    <col min="6" max="6" width="11.85546875" style="543" bestFit="1" customWidth="1"/>
    <col min="7" max="7" width="12.42578125" style="543" bestFit="1" customWidth="1"/>
    <col min="8" max="8" width="9.42578125" style="543" bestFit="1" customWidth="1"/>
    <col min="9" max="9" width="10.28515625" style="543" bestFit="1" customWidth="1"/>
    <col min="10" max="10" width="13.42578125" style="543" bestFit="1" customWidth="1"/>
    <col min="11" max="11" width="9.140625" style="543" bestFit="1" customWidth="1"/>
    <col min="12" max="12" width="11.140625" style="543" bestFit="1" customWidth="1"/>
    <col min="13" max="13" width="9.42578125" style="543" bestFit="1" customWidth="1"/>
    <col min="14" max="14" width="1.85546875" style="543" bestFit="1" customWidth="1"/>
    <col min="15" max="15" width="8.140625" style="543" bestFit="1" customWidth="1"/>
    <col min="16" max="17" width="6.42578125" style="543" bestFit="1" customWidth="1"/>
    <col min="18" max="18" width="9" style="592" bestFit="1" customWidth="1"/>
    <col min="19" max="19" width="8.140625" style="543" bestFit="1" customWidth="1"/>
    <col min="20" max="20" width="9.140625" style="543"/>
    <col min="21" max="21" width="4.140625" style="543" bestFit="1" customWidth="1"/>
    <col min="22" max="16384" width="9.140625" style="543"/>
  </cols>
  <sheetData>
    <row r="1" spans="1:21">
      <c r="A1" s="542" t="s">
        <v>306</v>
      </c>
      <c r="S1" s="642" t="s">
        <v>304</v>
      </c>
    </row>
    <row r="2" spans="1:21">
      <c r="A2" s="545" t="s">
        <v>307</v>
      </c>
      <c r="B2" s="545"/>
      <c r="C2" s="545"/>
      <c r="D2" s="546"/>
      <c r="E2" s="545"/>
      <c r="F2" s="545"/>
      <c r="G2" s="545"/>
      <c r="H2" s="545"/>
      <c r="I2" s="545"/>
      <c r="J2" s="545"/>
      <c r="K2" s="545"/>
      <c r="L2" s="545"/>
      <c r="M2" s="545"/>
    </row>
    <row r="3" spans="1:21">
      <c r="A3" s="547"/>
      <c r="B3" s="547"/>
      <c r="C3" s="547"/>
      <c r="D3" s="548"/>
      <c r="E3" s="547"/>
      <c r="F3" s="547"/>
      <c r="G3" s="547"/>
      <c r="H3" s="547"/>
      <c r="I3" s="547"/>
      <c r="J3" s="547"/>
      <c r="K3" s="547"/>
      <c r="L3" s="547"/>
      <c r="M3" s="547"/>
    </row>
    <row r="4" spans="1:21" s="552" customFormat="1" ht="45">
      <c r="A4" s="549" t="s">
        <v>315</v>
      </c>
      <c r="B4" s="550" t="s">
        <v>0</v>
      </c>
      <c r="C4" s="550" t="s">
        <v>1</v>
      </c>
      <c r="D4" s="550" t="s">
        <v>224</v>
      </c>
      <c r="E4" s="550" t="s">
        <v>2</v>
      </c>
      <c r="F4" s="550" t="s">
        <v>3</v>
      </c>
      <c r="G4" s="550" t="s">
        <v>4</v>
      </c>
      <c r="H4" s="550" t="s">
        <v>5</v>
      </c>
      <c r="I4" s="550" t="s">
        <v>6</v>
      </c>
      <c r="J4" s="550" t="s">
        <v>7</v>
      </c>
      <c r="K4" s="550" t="s">
        <v>8</v>
      </c>
      <c r="L4" s="550" t="s">
        <v>9</v>
      </c>
      <c r="M4" s="551" t="s">
        <v>308</v>
      </c>
      <c r="O4" s="553" t="s">
        <v>86</v>
      </c>
      <c r="P4" s="553" t="s">
        <v>87</v>
      </c>
      <c r="Q4" s="553" t="s">
        <v>88</v>
      </c>
      <c r="R4" s="593" t="s">
        <v>89</v>
      </c>
      <c r="S4" s="553" t="s">
        <v>90</v>
      </c>
      <c r="T4" s="552" t="s">
        <v>317</v>
      </c>
      <c r="U4" s="552" t="s">
        <v>318</v>
      </c>
    </row>
    <row r="5" spans="1:21" s="558" customFormat="1">
      <c r="A5" s="554" t="s">
        <v>62</v>
      </c>
      <c r="B5" s="555">
        <v>225</v>
      </c>
      <c r="C5" s="556" t="s">
        <v>309</v>
      </c>
      <c r="D5" s="555">
        <v>0</v>
      </c>
      <c r="E5" s="556" t="s">
        <v>69</v>
      </c>
      <c r="F5" s="555">
        <v>1257</v>
      </c>
      <c r="G5" s="555">
        <v>989</v>
      </c>
      <c r="H5" s="555">
        <v>16110</v>
      </c>
      <c r="I5" s="555">
        <v>99</v>
      </c>
      <c r="J5" s="555">
        <v>150</v>
      </c>
      <c r="K5" s="555">
        <v>0</v>
      </c>
      <c r="L5" s="555">
        <v>277</v>
      </c>
      <c r="M5" s="557">
        <v>19150</v>
      </c>
      <c r="O5" s="559">
        <f>SUM(B5,E5)</f>
        <v>225</v>
      </c>
      <c r="P5" s="559">
        <f>SUM(C5,D5,G5,F5)</f>
        <v>2246</v>
      </c>
      <c r="Q5" s="559">
        <f>SUM(H5:L5)</f>
        <v>16636</v>
      </c>
      <c r="R5" s="594">
        <f>(10*O5)+(3*P5)+Q5</f>
        <v>25624</v>
      </c>
      <c r="S5" s="560">
        <f>SUM(R5/($R$46+$R$57))</f>
        <v>1.4122493070511546E-2</v>
      </c>
      <c r="T5" s="559">
        <f>SUM(O5:Q5)</f>
        <v>19107</v>
      </c>
      <c r="U5" s="559">
        <f>T5-M5</f>
        <v>-43</v>
      </c>
    </row>
    <row r="6" spans="1:21" s="558" customFormat="1">
      <c r="A6" s="554" t="s">
        <v>84</v>
      </c>
      <c r="B6" s="555">
        <v>2027</v>
      </c>
      <c r="C6" s="556" t="s">
        <v>309</v>
      </c>
      <c r="D6" s="555">
        <v>0</v>
      </c>
      <c r="E6" s="555">
        <v>91</v>
      </c>
      <c r="F6" s="555">
        <v>2603</v>
      </c>
      <c r="G6" s="555">
        <v>1382</v>
      </c>
      <c r="H6" s="555">
        <v>8386</v>
      </c>
      <c r="I6" s="555">
        <v>63</v>
      </c>
      <c r="J6" s="556" t="s">
        <v>69</v>
      </c>
      <c r="K6" s="555">
        <v>75</v>
      </c>
      <c r="L6" s="555">
        <v>78</v>
      </c>
      <c r="M6" s="557">
        <v>14757</v>
      </c>
      <c r="O6" s="559">
        <f t="shared" ref="O6:O43" si="0">SUM(B6,E6)</f>
        <v>2118</v>
      </c>
      <c r="P6" s="559">
        <f t="shared" ref="P6:P43" si="1">SUM(C6,D6,G6,F6)</f>
        <v>3985</v>
      </c>
      <c r="Q6" s="559">
        <f t="shared" ref="Q6:Q43" si="2">SUM(H6:L6)</f>
        <v>8602</v>
      </c>
      <c r="R6" s="594">
        <f t="shared" ref="R6:R43" si="3">(10*O6)+(3*P6)+Q6</f>
        <v>41737</v>
      </c>
      <c r="S6" s="560">
        <f>SUM(R6/($R$46+$R$57))</f>
        <v>2.3003063272086344E-2</v>
      </c>
      <c r="T6" s="559">
        <f t="shared" ref="T6:T56" si="4">SUM(O6:Q6)</f>
        <v>14705</v>
      </c>
      <c r="U6" s="559">
        <f t="shared" ref="U6:U56" si="5">T6-M6</f>
        <v>-52</v>
      </c>
    </row>
    <row r="7" spans="1:21" s="558" customFormat="1">
      <c r="A7" s="554" t="s">
        <v>35</v>
      </c>
      <c r="B7" s="555">
        <v>111</v>
      </c>
      <c r="C7" s="555">
        <v>15</v>
      </c>
      <c r="D7" s="555">
        <v>0</v>
      </c>
      <c r="E7" s="555">
        <v>24</v>
      </c>
      <c r="F7" s="555">
        <v>1252</v>
      </c>
      <c r="G7" s="555">
        <v>241</v>
      </c>
      <c r="H7" s="555">
        <v>3406</v>
      </c>
      <c r="I7" s="555">
        <v>18</v>
      </c>
      <c r="J7" s="555">
        <v>73</v>
      </c>
      <c r="K7" s="555">
        <v>113</v>
      </c>
      <c r="L7" s="555">
        <v>372</v>
      </c>
      <c r="M7" s="557">
        <v>5625</v>
      </c>
      <c r="O7" s="559">
        <f t="shared" si="0"/>
        <v>135</v>
      </c>
      <c r="P7" s="559">
        <f t="shared" si="1"/>
        <v>1508</v>
      </c>
      <c r="Q7" s="559">
        <f t="shared" si="2"/>
        <v>3982</v>
      </c>
      <c r="R7" s="594">
        <f t="shared" si="3"/>
        <v>9856</v>
      </c>
      <c r="S7" s="560">
        <f t="shared" ref="S7:S43" si="6">SUM(R7/($R$46+$R$57))</f>
        <v>5.4320672690821806E-3</v>
      </c>
      <c r="T7" s="559">
        <f t="shared" si="4"/>
        <v>5625</v>
      </c>
      <c r="U7" s="559">
        <f t="shared" si="5"/>
        <v>0</v>
      </c>
    </row>
    <row r="8" spans="1:21" s="558" customFormat="1">
      <c r="A8" s="554" t="s">
        <v>36</v>
      </c>
      <c r="B8" s="555">
        <v>205</v>
      </c>
      <c r="C8" s="555">
        <v>0</v>
      </c>
      <c r="D8" s="555">
        <v>0</v>
      </c>
      <c r="E8" s="555">
        <v>42</v>
      </c>
      <c r="F8" s="555">
        <v>1676</v>
      </c>
      <c r="G8" s="555">
        <v>754</v>
      </c>
      <c r="H8" s="555">
        <v>7686</v>
      </c>
      <c r="I8" s="555">
        <v>91</v>
      </c>
      <c r="J8" s="555">
        <v>183</v>
      </c>
      <c r="K8" s="555">
        <v>761</v>
      </c>
      <c r="L8" s="555">
        <v>60</v>
      </c>
      <c r="M8" s="557">
        <v>11458</v>
      </c>
      <c r="O8" s="559">
        <f t="shared" si="0"/>
        <v>247</v>
      </c>
      <c r="P8" s="559">
        <f t="shared" si="1"/>
        <v>2430</v>
      </c>
      <c r="Q8" s="559">
        <f t="shared" si="2"/>
        <v>8781</v>
      </c>
      <c r="R8" s="594">
        <f t="shared" si="3"/>
        <v>18541</v>
      </c>
      <c r="S8" s="560">
        <f t="shared" si="6"/>
        <v>1.0218745864047557E-2</v>
      </c>
      <c r="T8" s="559">
        <f t="shared" si="4"/>
        <v>11458</v>
      </c>
      <c r="U8" s="559">
        <f t="shared" si="5"/>
        <v>0</v>
      </c>
    </row>
    <row r="9" spans="1:21" s="558" customFormat="1">
      <c r="A9" s="561" t="s">
        <v>316</v>
      </c>
      <c r="B9" s="555">
        <v>175</v>
      </c>
      <c r="C9" s="555">
        <v>7</v>
      </c>
      <c r="D9" s="555">
        <v>0</v>
      </c>
      <c r="E9" s="555">
        <v>32</v>
      </c>
      <c r="F9" s="555">
        <v>324</v>
      </c>
      <c r="G9" s="555">
        <v>559</v>
      </c>
      <c r="H9" s="555">
        <v>3737</v>
      </c>
      <c r="I9" s="555">
        <v>20</v>
      </c>
      <c r="J9" s="555">
        <v>91</v>
      </c>
      <c r="K9" s="555">
        <v>646</v>
      </c>
      <c r="L9" s="555">
        <v>8</v>
      </c>
      <c r="M9" s="557">
        <v>5599</v>
      </c>
      <c r="O9" s="559">
        <f t="shared" si="0"/>
        <v>207</v>
      </c>
      <c r="P9" s="559">
        <f t="shared" si="1"/>
        <v>890</v>
      </c>
      <c r="Q9" s="559">
        <f t="shared" si="2"/>
        <v>4502</v>
      </c>
      <c r="R9" s="594">
        <f t="shared" si="3"/>
        <v>9242</v>
      </c>
      <c r="S9" s="560">
        <f t="shared" si="6"/>
        <v>5.0936653511421993E-3</v>
      </c>
      <c r="T9" s="559">
        <f t="shared" si="4"/>
        <v>5599</v>
      </c>
      <c r="U9" s="559">
        <f t="shared" si="5"/>
        <v>0</v>
      </c>
    </row>
    <row r="10" spans="1:21" s="558" customFormat="1">
      <c r="A10" s="554" t="s">
        <v>14</v>
      </c>
      <c r="B10" s="555">
        <v>457</v>
      </c>
      <c r="C10" s="555">
        <v>18</v>
      </c>
      <c r="D10" s="555">
        <v>0</v>
      </c>
      <c r="E10" s="555">
        <v>23</v>
      </c>
      <c r="F10" s="555">
        <v>2759</v>
      </c>
      <c r="G10" s="555">
        <v>1046</v>
      </c>
      <c r="H10" s="555">
        <v>15664</v>
      </c>
      <c r="I10" s="555">
        <v>1287</v>
      </c>
      <c r="J10" s="555">
        <v>104</v>
      </c>
      <c r="K10" s="555">
        <v>186</v>
      </c>
      <c r="L10" s="555">
        <v>179</v>
      </c>
      <c r="M10" s="557">
        <v>21722</v>
      </c>
      <c r="O10" s="559">
        <f t="shared" si="0"/>
        <v>480</v>
      </c>
      <c r="P10" s="559">
        <f t="shared" si="1"/>
        <v>3823</v>
      </c>
      <c r="Q10" s="559">
        <f t="shared" si="2"/>
        <v>17420</v>
      </c>
      <c r="R10" s="594">
        <f t="shared" si="3"/>
        <v>33689</v>
      </c>
      <c r="S10" s="560">
        <f t="shared" si="6"/>
        <v>1.8567462888403975E-2</v>
      </c>
      <c r="T10" s="559">
        <f t="shared" si="4"/>
        <v>21723</v>
      </c>
      <c r="U10" s="559">
        <f t="shared" si="5"/>
        <v>1</v>
      </c>
    </row>
    <row r="11" spans="1:21" s="558" customFormat="1">
      <c r="A11" s="554" t="s">
        <v>44</v>
      </c>
      <c r="B11" s="555">
        <v>1291</v>
      </c>
      <c r="C11" s="556" t="s">
        <v>309</v>
      </c>
      <c r="D11" s="555">
        <v>0</v>
      </c>
      <c r="E11" s="555">
        <v>174</v>
      </c>
      <c r="F11" s="555">
        <v>2864</v>
      </c>
      <c r="G11" s="555">
        <v>951</v>
      </c>
      <c r="H11" s="555">
        <v>27495</v>
      </c>
      <c r="I11" s="556" t="s">
        <v>69</v>
      </c>
      <c r="J11" s="555">
        <v>91</v>
      </c>
      <c r="K11" s="555">
        <v>768</v>
      </c>
      <c r="L11" s="555">
        <v>107</v>
      </c>
      <c r="M11" s="557">
        <v>33792</v>
      </c>
      <c r="O11" s="559">
        <f t="shared" si="0"/>
        <v>1465</v>
      </c>
      <c r="P11" s="559">
        <f t="shared" si="1"/>
        <v>3815</v>
      </c>
      <c r="Q11" s="559">
        <f t="shared" si="2"/>
        <v>28461</v>
      </c>
      <c r="R11" s="594">
        <f t="shared" si="3"/>
        <v>54556</v>
      </c>
      <c r="S11" s="560">
        <f t="shared" si="6"/>
        <v>3.0068167809663909E-2</v>
      </c>
      <c r="T11" s="559">
        <f t="shared" si="4"/>
        <v>33741</v>
      </c>
      <c r="U11" s="559">
        <f t="shared" si="5"/>
        <v>-51</v>
      </c>
    </row>
    <row r="12" spans="1:21" s="558" customFormat="1">
      <c r="A12" s="554" t="s">
        <v>63</v>
      </c>
      <c r="B12" s="555">
        <v>1043</v>
      </c>
      <c r="C12" s="555">
        <v>7</v>
      </c>
      <c r="D12" s="555">
        <v>0</v>
      </c>
      <c r="E12" s="555">
        <v>46</v>
      </c>
      <c r="F12" s="555">
        <v>4395</v>
      </c>
      <c r="G12" s="555">
        <v>1134</v>
      </c>
      <c r="H12" s="555">
        <v>25849</v>
      </c>
      <c r="I12" s="555">
        <v>137</v>
      </c>
      <c r="J12" s="555">
        <v>90</v>
      </c>
      <c r="K12" s="555">
        <v>0</v>
      </c>
      <c r="L12" s="555">
        <v>170</v>
      </c>
      <c r="M12" s="557">
        <v>32870</v>
      </c>
      <c r="O12" s="559">
        <f t="shared" si="0"/>
        <v>1089</v>
      </c>
      <c r="P12" s="559">
        <f t="shared" si="1"/>
        <v>5536</v>
      </c>
      <c r="Q12" s="559">
        <f t="shared" si="2"/>
        <v>26246</v>
      </c>
      <c r="R12" s="594">
        <f t="shared" si="3"/>
        <v>53744</v>
      </c>
      <c r="S12" s="560">
        <f t="shared" si="6"/>
        <v>2.9620639540336113E-2</v>
      </c>
      <c r="T12" s="559">
        <f t="shared" si="4"/>
        <v>32871</v>
      </c>
      <c r="U12" s="559">
        <f t="shared" si="5"/>
        <v>1</v>
      </c>
    </row>
    <row r="13" spans="1:21" s="558" customFormat="1">
      <c r="A13" s="554" t="s">
        <v>45</v>
      </c>
      <c r="B13" s="555">
        <v>320</v>
      </c>
      <c r="C13" s="556" t="s">
        <v>309</v>
      </c>
      <c r="D13" s="555">
        <v>0</v>
      </c>
      <c r="E13" s="555">
        <v>95</v>
      </c>
      <c r="F13" s="555">
        <v>1422</v>
      </c>
      <c r="G13" s="555">
        <v>1084</v>
      </c>
      <c r="H13" s="555">
        <v>13629</v>
      </c>
      <c r="I13" s="555">
        <v>29</v>
      </c>
      <c r="J13" s="555">
        <v>33</v>
      </c>
      <c r="K13" s="555">
        <v>587</v>
      </c>
      <c r="L13" s="556" t="s">
        <v>69</v>
      </c>
      <c r="M13" s="557">
        <v>17217</v>
      </c>
      <c r="O13" s="559">
        <f t="shared" si="0"/>
        <v>415</v>
      </c>
      <c r="P13" s="559">
        <f t="shared" si="1"/>
        <v>2506</v>
      </c>
      <c r="Q13" s="559">
        <f t="shared" si="2"/>
        <v>14278</v>
      </c>
      <c r="R13" s="594">
        <f t="shared" si="3"/>
        <v>25946</v>
      </c>
      <c r="S13" s="560">
        <f t="shared" si="6"/>
        <v>1.4299961177313948E-2</v>
      </c>
      <c r="T13" s="559">
        <f t="shared" si="4"/>
        <v>17199</v>
      </c>
      <c r="U13" s="559">
        <f t="shared" si="5"/>
        <v>-18</v>
      </c>
    </row>
    <row r="14" spans="1:21" s="558" customFormat="1">
      <c r="A14" s="554" t="s">
        <v>74</v>
      </c>
      <c r="B14" s="555">
        <v>684</v>
      </c>
      <c r="C14" s="555">
        <v>50</v>
      </c>
      <c r="D14" s="555">
        <v>552</v>
      </c>
      <c r="E14" s="555">
        <v>61</v>
      </c>
      <c r="F14" s="555">
        <v>2158</v>
      </c>
      <c r="G14" s="555">
        <v>892</v>
      </c>
      <c r="H14" s="555">
        <v>10745</v>
      </c>
      <c r="I14" s="555">
        <v>0</v>
      </c>
      <c r="J14" s="555">
        <v>73</v>
      </c>
      <c r="K14" s="555">
        <v>324</v>
      </c>
      <c r="L14" s="555">
        <v>35</v>
      </c>
      <c r="M14" s="557">
        <v>15574</v>
      </c>
      <c r="O14" s="559">
        <f t="shared" si="0"/>
        <v>745</v>
      </c>
      <c r="P14" s="559">
        <f t="shared" si="1"/>
        <v>3652</v>
      </c>
      <c r="Q14" s="559">
        <f t="shared" si="2"/>
        <v>11177</v>
      </c>
      <c r="R14" s="594">
        <f t="shared" si="3"/>
        <v>29583</v>
      </c>
      <c r="S14" s="560">
        <f t="shared" si="6"/>
        <v>1.6304468955078952E-2</v>
      </c>
      <c r="T14" s="559">
        <f t="shared" si="4"/>
        <v>15574</v>
      </c>
      <c r="U14" s="559">
        <f t="shared" si="5"/>
        <v>0</v>
      </c>
    </row>
    <row r="15" spans="1:21" s="558" customFormat="1">
      <c r="A15" s="554" t="s">
        <v>37</v>
      </c>
      <c r="B15" s="555">
        <v>1304</v>
      </c>
      <c r="C15" s="555">
        <v>52</v>
      </c>
      <c r="D15" s="555">
        <v>0</v>
      </c>
      <c r="E15" s="555">
        <v>86</v>
      </c>
      <c r="F15" s="555">
        <v>2873</v>
      </c>
      <c r="G15" s="555">
        <v>993</v>
      </c>
      <c r="H15" s="555">
        <v>25937</v>
      </c>
      <c r="I15" s="555">
        <v>0</v>
      </c>
      <c r="J15" s="555">
        <v>213</v>
      </c>
      <c r="K15" s="555">
        <v>8</v>
      </c>
      <c r="L15" s="555">
        <v>438</v>
      </c>
      <c r="M15" s="557">
        <v>31902</v>
      </c>
      <c r="O15" s="559">
        <f t="shared" si="0"/>
        <v>1390</v>
      </c>
      <c r="P15" s="559">
        <f t="shared" si="1"/>
        <v>3918</v>
      </c>
      <c r="Q15" s="559">
        <f t="shared" si="2"/>
        <v>26596</v>
      </c>
      <c r="R15" s="594">
        <f t="shared" si="3"/>
        <v>52250</v>
      </c>
      <c r="S15" s="560">
        <f t="shared" si="6"/>
        <v>2.8797231616228079E-2</v>
      </c>
      <c r="T15" s="559">
        <f t="shared" si="4"/>
        <v>31904</v>
      </c>
      <c r="U15" s="559">
        <f t="shared" si="5"/>
        <v>2</v>
      </c>
    </row>
    <row r="16" spans="1:21" s="558" customFormat="1">
      <c r="A16" s="554" t="s">
        <v>38</v>
      </c>
      <c r="B16" s="555">
        <v>545</v>
      </c>
      <c r="C16" s="555">
        <v>23</v>
      </c>
      <c r="D16" s="555">
        <v>26</v>
      </c>
      <c r="E16" s="555">
        <v>54</v>
      </c>
      <c r="F16" s="555">
        <v>2143</v>
      </c>
      <c r="G16" s="555">
        <v>343</v>
      </c>
      <c r="H16" s="555">
        <v>12098</v>
      </c>
      <c r="I16" s="555">
        <v>0</v>
      </c>
      <c r="J16" s="555">
        <v>377</v>
      </c>
      <c r="K16" s="555">
        <v>263</v>
      </c>
      <c r="L16" s="555">
        <v>378</v>
      </c>
      <c r="M16" s="557">
        <v>16251</v>
      </c>
      <c r="O16" s="559">
        <f t="shared" si="0"/>
        <v>599</v>
      </c>
      <c r="P16" s="559">
        <f t="shared" si="1"/>
        <v>2535</v>
      </c>
      <c r="Q16" s="559">
        <f t="shared" si="2"/>
        <v>13116</v>
      </c>
      <c r="R16" s="594">
        <f t="shared" si="3"/>
        <v>26711</v>
      </c>
      <c r="S16" s="560">
        <f t="shared" si="6"/>
        <v>1.4721585716766857E-2</v>
      </c>
      <c r="T16" s="559">
        <f t="shared" si="4"/>
        <v>16250</v>
      </c>
      <c r="U16" s="559">
        <f t="shared" si="5"/>
        <v>-1</v>
      </c>
    </row>
    <row r="17" spans="1:21" s="558" customFormat="1">
      <c r="A17" s="554" t="s">
        <v>26</v>
      </c>
      <c r="B17" s="555">
        <v>981</v>
      </c>
      <c r="C17" s="555">
        <v>10</v>
      </c>
      <c r="D17" s="555">
        <v>0</v>
      </c>
      <c r="E17" s="555">
        <v>103</v>
      </c>
      <c r="F17" s="555">
        <v>2985</v>
      </c>
      <c r="G17" s="555">
        <v>832</v>
      </c>
      <c r="H17" s="555">
        <v>20992</v>
      </c>
      <c r="I17" s="555">
        <v>0</v>
      </c>
      <c r="J17" s="555">
        <v>512</v>
      </c>
      <c r="K17" s="555">
        <v>68</v>
      </c>
      <c r="L17" s="555">
        <v>60</v>
      </c>
      <c r="M17" s="557">
        <v>26542</v>
      </c>
      <c r="O17" s="559">
        <f t="shared" si="0"/>
        <v>1084</v>
      </c>
      <c r="P17" s="559">
        <f t="shared" si="1"/>
        <v>3827</v>
      </c>
      <c r="Q17" s="559">
        <f t="shared" si="2"/>
        <v>21632</v>
      </c>
      <c r="R17" s="594">
        <f t="shared" si="3"/>
        <v>43953</v>
      </c>
      <c r="S17" s="560">
        <f t="shared" si="6"/>
        <v>2.4224396578527711E-2</v>
      </c>
      <c r="T17" s="559">
        <f t="shared" si="4"/>
        <v>26543</v>
      </c>
      <c r="U17" s="559">
        <f t="shared" si="5"/>
        <v>1</v>
      </c>
    </row>
    <row r="18" spans="1:21" s="558" customFormat="1">
      <c r="A18" s="554" t="s">
        <v>15</v>
      </c>
      <c r="B18" s="555">
        <v>1228</v>
      </c>
      <c r="C18" s="555">
        <v>13</v>
      </c>
      <c r="D18" s="555">
        <v>0</v>
      </c>
      <c r="E18" s="555">
        <v>67</v>
      </c>
      <c r="F18" s="555">
        <v>4042</v>
      </c>
      <c r="G18" s="555">
        <v>690</v>
      </c>
      <c r="H18" s="555">
        <v>21275</v>
      </c>
      <c r="I18" s="555">
        <v>0</v>
      </c>
      <c r="J18" s="555">
        <v>168</v>
      </c>
      <c r="K18" s="555">
        <v>173</v>
      </c>
      <c r="L18" s="555">
        <v>274</v>
      </c>
      <c r="M18" s="557">
        <v>27929</v>
      </c>
      <c r="O18" s="559">
        <f t="shared" si="0"/>
        <v>1295</v>
      </c>
      <c r="P18" s="559">
        <f t="shared" si="1"/>
        <v>4745</v>
      </c>
      <c r="Q18" s="559">
        <f t="shared" si="2"/>
        <v>21890</v>
      </c>
      <c r="R18" s="594">
        <f t="shared" si="3"/>
        <v>49075</v>
      </c>
      <c r="S18" s="560">
        <f t="shared" si="6"/>
        <v>2.7047351991701302E-2</v>
      </c>
      <c r="T18" s="559">
        <f t="shared" si="4"/>
        <v>27930</v>
      </c>
      <c r="U18" s="559">
        <f t="shared" si="5"/>
        <v>1</v>
      </c>
    </row>
    <row r="19" spans="1:21" s="558" customFormat="1">
      <c r="A19" s="554" t="s">
        <v>28</v>
      </c>
      <c r="B19" s="555">
        <v>2889</v>
      </c>
      <c r="C19" s="555">
        <v>0</v>
      </c>
      <c r="D19" s="555">
        <v>0</v>
      </c>
      <c r="E19" s="555">
        <v>324</v>
      </c>
      <c r="F19" s="555">
        <v>6403</v>
      </c>
      <c r="G19" s="555">
        <v>1225</v>
      </c>
      <c r="H19" s="555">
        <v>39392</v>
      </c>
      <c r="I19" s="556" t="s">
        <v>69</v>
      </c>
      <c r="J19" s="555">
        <v>411</v>
      </c>
      <c r="K19" s="556" t="s">
        <v>309</v>
      </c>
      <c r="L19" s="555">
        <v>231</v>
      </c>
      <c r="M19" s="557">
        <v>50882</v>
      </c>
      <c r="O19" s="559">
        <f t="shared" si="0"/>
        <v>3213</v>
      </c>
      <c r="P19" s="559">
        <f t="shared" si="1"/>
        <v>7628</v>
      </c>
      <c r="Q19" s="559">
        <f t="shared" si="2"/>
        <v>40034</v>
      </c>
      <c r="R19" s="594">
        <f t="shared" si="3"/>
        <v>95048</v>
      </c>
      <c r="S19" s="560">
        <f t="shared" si="6"/>
        <v>5.2385057811660224E-2</v>
      </c>
      <c r="T19" s="559">
        <f t="shared" si="4"/>
        <v>50875</v>
      </c>
      <c r="U19" s="559">
        <f t="shared" si="5"/>
        <v>-7</v>
      </c>
    </row>
    <row r="20" spans="1:21" s="558" customFormat="1">
      <c r="A20" s="554" t="s">
        <v>46</v>
      </c>
      <c r="B20" s="555">
        <v>476</v>
      </c>
      <c r="C20" s="555">
        <v>9</v>
      </c>
      <c r="D20" s="555">
        <v>0</v>
      </c>
      <c r="E20" s="555">
        <v>57</v>
      </c>
      <c r="F20" s="555">
        <v>1025</v>
      </c>
      <c r="G20" s="555">
        <v>612</v>
      </c>
      <c r="H20" s="555">
        <v>14087</v>
      </c>
      <c r="I20" s="555">
        <v>0</v>
      </c>
      <c r="J20" s="555">
        <v>50</v>
      </c>
      <c r="K20" s="555">
        <v>217</v>
      </c>
      <c r="L20" s="555">
        <v>67</v>
      </c>
      <c r="M20" s="557">
        <v>16599</v>
      </c>
      <c r="O20" s="559">
        <f t="shared" si="0"/>
        <v>533</v>
      </c>
      <c r="P20" s="559">
        <f t="shared" si="1"/>
        <v>1646</v>
      </c>
      <c r="Q20" s="559">
        <f t="shared" si="2"/>
        <v>14421</v>
      </c>
      <c r="R20" s="594">
        <f t="shared" si="3"/>
        <v>24689</v>
      </c>
      <c r="S20" s="560">
        <f t="shared" si="6"/>
        <v>1.3607174188957991E-2</v>
      </c>
      <c r="T20" s="559">
        <f t="shared" si="4"/>
        <v>16600</v>
      </c>
      <c r="U20" s="559">
        <f t="shared" si="5"/>
        <v>1</v>
      </c>
    </row>
    <row r="21" spans="1:21" s="558" customFormat="1">
      <c r="A21" s="554" t="s">
        <v>39</v>
      </c>
      <c r="B21" s="555">
        <v>1278</v>
      </c>
      <c r="C21" s="555">
        <v>20</v>
      </c>
      <c r="D21" s="555">
        <v>0</v>
      </c>
      <c r="E21" s="555">
        <v>317</v>
      </c>
      <c r="F21" s="555">
        <v>2899</v>
      </c>
      <c r="G21" s="555">
        <v>1447</v>
      </c>
      <c r="H21" s="555">
        <v>26933</v>
      </c>
      <c r="I21" s="555">
        <v>0</v>
      </c>
      <c r="J21" s="555">
        <v>513</v>
      </c>
      <c r="K21" s="555">
        <v>0</v>
      </c>
      <c r="L21" s="555">
        <v>156</v>
      </c>
      <c r="M21" s="557">
        <v>33562</v>
      </c>
      <c r="O21" s="559">
        <f t="shared" si="0"/>
        <v>1595</v>
      </c>
      <c r="P21" s="559">
        <f t="shared" si="1"/>
        <v>4366</v>
      </c>
      <c r="Q21" s="559">
        <f t="shared" si="2"/>
        <v>27602</v>
      </c>
      <c r="R21" s="594">
        <f t="shared" si="3"/>
        <v>56650</v>
      </c>
      <c r="S21" s="560">
        <f t="shared" si="6"/>
        <v>3.1222261647068341E-2</v>
      </c>
      <c r="T21" s="559">
        <f t="shared" si="4"/>
        <v>33563</v>
      </c>
      <c r="U21" s="559">
        <f t="shared" si="5"/>
        <v>1</v>
      </c>
    </row>
    <row r="22" spans="1:21" s="558" customFormat="1">
      <c r="A22" s="554" t="s">
        <v>29</v>
      </c>
      <c r="B22" s="555">
        <v>1239</v>
      </c>
      <c r="C22" s="556" t="s">
        <v>309</v>
      </c>
      <c r="D22" s="555">
        <v>0</v>
      </c>
      <c r="E22" s="555">
        <v>148</v>
      </c>
      <c r="F22" s="555">
        <v>4694</v>
      </c>
      <c r="G22" s="555">
        <v>977</v>
      </c>
      <c r="H22" s="555">
        <v>33652</v>
      </c>
      <c r="I22" s="555">
        <v>2272</v>
      </c>
      <c r="J22" s="555">
        <v>1108</v>
      </c>
      <c r="K22" s="556" t="s">
        <v>309</v>
      </c>
      <c r="L22" s="556" t="s">
        <v>69</v>
      </c>
      <c r="M22" s="557">
        <v>44180</v>
      </c>
      <c r="O22" s="559">
        <f t="shared" si="0"/>
        <v>1387</v>
      </c>
      <c r="P22" s="559">
        <f t="shared" si="1"/>
        <v>5671</v>
      </c>
      <c r="Q22" s="559">
        <f t="shared" si="2"/>
        <v>37032</v>
      </c>
      <c r="R22" s="594">
        <f t="shared" si="3"/>
        <v>67915</v>
      </c>
      <c r="S22" s="560">
        <f t="shared" si="6"/>
        <v>3.7430889669208232E-2</v>
      </c>
      <c r="T22" s="559">
        <f t="shared" si="4"/>
        <v>44090</v>
      </c>
      <c r="U22" s="559">
        <f t="shared" si="5"/>
        <v>-90</v>
      </c>
    </row>
    <row r="23" spans="1:21" s="545" customFormat="1">
      <c r="A23" s="554" t="s">
        <v>16</v>
      </c>
      <c r="B23" s="555">
        <v>243</v>
      </c>
      <c r="C23" s="555">
        <v>0</v>
      </c>
      <c r="D23" s="555">
        <v>0</v>
      </c>
      <c r="E23" s="555">
        <v>19</v>
      </c>
      <c r="F23" s="555">
        <v>633</v>
      </c>
      <c r="G23" s="555">
        <v>119</v>
      </c>
      <c r="H23" s="555">
        <v>7143</v>
      </c>
      <c r="I23" s="555">
        <v>300</v>
      </c>
      <c r="J23" s="555">
        <v>76</v>
      </c>
      <c r="K23" s="555">
        <v>481</v>
      </c>
      <c r="L23" s="555">
        <v>21</v>
      </c>
      <c r="M23" s="557">
        <v>9034</v>
      </c>
      <c r="O23" s="559">
        <f t="shared" si="0"/>
        <v>262</v>
      </c>
      <c r="P23" s="559">
        <f t="shared" si="1"/>
        <v>752</v>
      </c>
      <c r="Q23" s="559">
        <f t="shared" si="2"/>
        <v>8021</v>
      </c>
      <c r="R23" s="594">
        <f t="shared" si="3"/>
        <v>12897</v>
      </c>
      <c r="S23" s="560">
        <f t="shared" si="6"/>
        <v>7.1080937063060963E-3</v>
      </c>
      <c r="T23" s="559">
        <f t="shared" si="4"/>
        <v>9035</v>
      </c>
      <c r="U23" s="559">
        <f t="shared" si="5"/>
        <v>1</v>
      </c>
    </row>
    <row r="24" spans="1:21" s="558" customFormat="1">
      <c r="A24" s="554" t="s">
        <v>30</v>
      </c>
      <c r="B24" s="555">
        <v>703</v>
      </c>
      <c r="C24" s="555">
        <v>0</v>
      </c>
      <c r="D24" s="555">
        <v>0</v>
      </c>
      <c r="E24" s="555">
        <v>33</v>
      </c>
      <c r="F24" s="555">
        <v>1818</v>
      </c>
      <c r="G24" s="555">
        <v>646</v>
      </c>
      <c r="H24" s="555">
        <v>17042</v>
      </c>
      <c r="I24" s="555">
        <v>171</v>
      </c>
      <c r="J24" s="555">
        <v>350</v>
      </c>
      <c r="K24" s="555">
        <v>0</v>
      </c>
      <c r="L24" s="555">
        <v>220</v>
      </c>
      <c r="M24" s="557">
        <v>20982</v>
      </c>
      <c r="O24" s="559">
        <f t="shared" si="0"/>
        <v>736</v>
      </c>
      <c r="P24" s="559">
        <f t="shared" si="1"/>
        <v>2464</v>
      </c>
      <c r="Q24" s="559">
        <f t="shared" si="2"/>
        <v>17783</v>
      </c>
      <c r="R24" s="594">
        <f t="shared" si="3"/>
        <v>32535</v>
      </c>
      <c r="S24" s="560">
        <f t="shared" si="6"/>
        <v>1.7931443648497237E-2</v>
      </c>
      <c r="T24" s="559">
        <f t="shared" si="4"/>
        <v>20983</v>
      </c>
      <c r="U24" s="559">
        <f t="shared" si="5"/>
        <v>1</v>
      </c>
    </row>
    <row r="25" spans="1:21" s="558" customFormat="1">
      <c r="A25" s="554" t="s">
        <v>75</v>
      </c>
      <c r="B25" s="555">
        <v>1455</v>
      </c>
      <c r="C25" s="555">
        <v>9</v>
      </c>
      <c r="D25" s="555">
        <v>0</v>
      </c>
      <c r="E25" s="555">
        <v>200</v>
      </c>
      <c r="F25" s="555">
        <v>2516</v>
      </c>
      <c r="G25" s="555">
        <v>536</v>
      </c>
      <c r="H25" s="555">
        <v>15530</v>
      </c>
      <c r="I25" s="555">
        <v>0</v>
      </c>
      <c r="J25" s="555">
        <v>127</v>
      </c>
      <c r="K25" s="555">
        <v>89</v>
      </c>
      <c r="L25" s="555">
        <v>315</v>
      </c>
      <c r="M25" s="557">
        <v>20776</v>
      </c>
      <c r="O25" s="559">
        <f t="shared" si="0"/>
        <v>1655</v>
      </c>
      <c r="P25" s="559">
        <f t="shared" si="1"/>
        <v>3061</v>
      </c>
      <c r="Q25" s="559">
        <f t="shared" si="2"/>
        <v>16061</v>
      </c>
      <c r="R25" s="594">
        <f t="shared" si="3"/>
        <v>41794</v>
      </c>
      <c r="S25" s="560">
        <f t="shared" si="6"/>
        <v>2.3034478433849499E-2</v>
      </c>
      <c r="T25" s="559">
        <f t="shared" si="4"/>
        <v>20777</v>
      </c>
      <c r="U25" s="559">
        <f t="shared" si="5"/>
        <v>1</v>
      </c>
    </row>
    <row r="26" spans="1:21" s="558" customFormat="1">
      <c r="A26" s="554" t="s">
        <v>319</v>
      </c>
      <c r="B26" s="555">
        <v>144</v>
      </c>
      <c r="C26" s="555">
        <v>13</v>
      </c>
      <c r="D26" s="555">
        <v>0</v>
      </c>
      <c r="E26" s="555">
        <v>29</v>
      </c>
      <c r="F26" s="555">
        <v>2073</v>
      </c>
      <c r="G26" s="555">
        <v>576</v>
      </c>
      <c r="H26" s="555">
        <v>6013</v>
      </c>
      <c r="I26" s="555">
        <v>22</v>
      </c>
      <c r="J26" s="555">
        <v>199</v>
      </c>
      <c r="K26" s="555">
        <v>34</v>
      </c>
      <c r="L26" s="555">
        <v>186</v>
      </c>
      <c r="M26" s="557">
        <v>9290</v>
      </c>
      <c r="O26" s="559">
        <f>SUM(B26,E26)</f>
        <v>173</v>
      </c>
      <c r="P26" s="559">
        <f>SUM(C26,D26,G26,F26)</f>
        <v>2662</v>
      </c>
      <c r="Q26" s="559">
        <f>SUM(H26:L26)</f>
        <v>6454</v>
      </c>
      <c r="R26" s="594">
        <f>(10*O26)+(3*P26)+Q26</f>
        <v>16170</v>
      </c>
      <c r="S26" s="560">
        <f t="shared" si="6"/>
        <v>8.9119853633379525E-3</v>
      </c>
      <c r="T26" s="559">
        <f>SUM(O26:Q26)</f>
        <v>9289</v>
      </c>
      <c r="U26" s="559">
        <f>T26-M26</f>
        <v>-1</v>
      </c>
    </row>
    <row r="27" spans="1:21" s="558" customFormat="1">
      <c r="A27" s="554" t="s">
        <v>60</v>
      </c>
      <c r="B27" s="555">
        <v>352</v>
      </c>
      <c r="C27" s="555">
        <v>0</v>
      </c>
      <c r="D27" s="555">
        <v>62</v>
      </c>
      <c r="E27" s="556" t="s">
        <v>69</v>
      </c>
      <c r="F27" s="555">
        <v>1277</v>
      </c>
      <c r="G27" s="555">
        <v>317</v>
      </c>
      <c r="H27" s="555">
        <v>8558</v>
      </c>
      <c r="I27" s="556" t="s">
        <v>309</v>
      </c>
      <c r="J27" s="555">
        <v>428</v>
      </c>
      <c r="K27" s="555">
        <v>215</v>
      </c>
      <c r="L27" s="555">
        <v>88</v>
      </c>
      <c r="M27" s="557">
        <v>11326</v>
      </c>
      <c r="O27" s="559">
        <f t="shared" si="0"/>
        <v>352</v>
      </c>
      <c r="P27" s="559">
        <f t="shared" si="1"/>
        <v>1656</v>
      </c>
      <c r="Q27" s="559">
        <f t="shared" si="2"/>
        <v>9289</v>
      </c>
      <c r="R27" s="594">
        <f t="shared" si="3"/>
        <v>17777</v>
      </c>
      <c r="S27" s="560">
        <f t="shared" si="6"/>
        <v>9.7976724677834755E-3</v>
      </c>
      <c r="T27" s="559">
        <f t="shared" si="4"/>
        <v>11297</v>
      </c>
      <c r="U27" s="559">
        <f t="shared" si="5"/>
        <v>-29</v>
      </c>
    </row>
    <row r="28" spans="1:21" s="558" customFormat="1">
      <c r="A28" s="554" t="s">
        <v>76</v>
      </c>
      <c r="B28" s="555">
        <v>2923</v>
      </c>
      <c r="C28" s="555">
        <v>51</v>
      </c>
      <c r="D28" s="555">
        <v>0</v>
      </c>
      <c r="E28" s="555">
        <v>394</v>
      </c>
      <c r="F28" s="555">
        <v>13339</v>
      </c>
      <c r="G28" s="555">
        <v>1595</v>
      </c>
      <c r="H28" s="555">
        <v>21433</v>
      </c>
      <c r="I28" s="555">
        <v>74</v>
      </c>
      <c r="J28" s="555">
        <v>237</v>
      </c>
      <c r="K28" s="555">
        <v>48</v>
      </c>
      <c r="L28" s="555">
        <v>353</v>
      </c>
      <c r="M28" s="557">
        <v>40445</v>
      </c>
      <c r="O28" s="559">
        <f t="shared" si="0"/>
        <v>3317</v>
      </c>
      <c r="P28" s="559">
        <f t="shared" si="1"/>
        <v>14985</v>
      </c>
      <c r="Q28" s="559">
        <f t="shared" si="2"/>
        <v>22145</v>
      </c>
      <c r="R28" s="594">
        <f t="shared" si="3"/>
        <v>100270</v>
      </c>
      <c r="S28" s="560">
        <f t="shared" si="6"/>
        <v>5.5263127543716546E-2</v>
      </c>
      <c r="T28" s="559">
        <f t="shared" si="4"/>
        <v>40447</v>
      </c>
      <c r="U28" s="559">
        <f t="shared" si="5"/>
        <v>2</v>
      </c>
    </row>
    <row r="29" spans="1:21" s="558" customFormat="1">
      <c r="A29" s="554" t="s">
        <v>77</v>
      </c>
      <c r="B29" s="555">
        <v>400</v>
      </c>
      <c r="C29" s="555">
        <v>0</v>
      </c>
      <c r="D29" s="555">
        <v>0</v>
      </c>
      <c r="E29" s="555">
        <v>48</v>
      </c>
      <c r="F29" s="555">
        <v>1295</v>
      </c>
      <c r="G29" s="555">
        <v>1045</v>
      </c>
      <c r="H29" s="555">
        <v>8074</v>
      </c>
      <c r="I29" s="555">
        <v>0</v>
      </c>
      <c r="J29" s="555">
        <v>282</v>
      </c>
      <c r="K29" s="555">
        <v>305</v>
      </c>
      <c r="L29" s="555">
        <v>38</v>
      </c>
      <c r="M29" s="557">
        <v>11487</v>
      </c>
      <c r="O29" s="559">
        <f t="shared" si="0"/>
        <v>448</v>
      </c>
      <c r="P29" s="559">
        <f t="shared" si="1"/>
        <v>2340</v>
      </c>
      <c r="Q29" s="559">
        <f t="shared" si="2"/>
        <v>8699</v>
      </c>
      <c r="R29" s="594">
        <f t="shared" si="3"/>
        <v>20199</v>
      </c>
      <c r="S29" s="560">
        <f t="shared" si="6"/>
        <v>1.1132541271123272E-2</v>
      </c>
      <c r="T29" s="559">
        <f t="shared" si="4"/>
        <v>11487</v>
      </c>
      <c r="U29" s="559">
        <f t="shared" si="5"/>
        <v>0</v>
      </c>
    </row>
    <row r="30" spans="1:21" s="558" customFormat="1">
      <c r="A30" s="554" t="s">
        <v>78</v>
      </c>
      <c r="B30" s="555">
        <v>2798</v>
      </c>
      <c r="C30" s="556" t="s">
        <v>309</v>
      </c>
      <c r="D30" s="555">
        <v>0</v>
      </c>
      <c r="E30" s="555">
        <v>389</v>
      </c>
      <c r="F30" s="555">
        <v>6151</v>
      </c>
      <c r="G30" s="555">
        <v>959</v>
      </c>
      <c r="H30" s="555">
        <v>27881</v>
      </c>
      <c r="I30" s="555">
        <v>0</v>
      </c>
      <c r="J30" s="556" t="s">
        <v>69</v>
      </c>
      <c r="K30" s="555">
        <v>94</v>
      </c>
      <c r="L30" s="555">
        <v>510</v>
      </c>
      <c r="M30" s="557">
        <v>38828</v>
      </c>
      <c r="O30" s="559">
        <f t="shared" si="0"/>
        <v>3187</v>
      </c>
      <c r="P30" s="559">
        <f t="shared" si="1"/>
        <v>7110</v>
      </c>
      <c r="Q30" s="559">
        <f t="shared" si="2"/>
        <v>28485</v>
      </c>
      <c r="R30" s="594">
        <f t="shared" si="3"/>
        <v>81685</v>
      </c>
      <c r="S30" s="560">
        <f t="shared" si="6"/>
        <v>4.502013137936059E-2</v>
      </c>
      <c r="T30" s="559">
        <f t="shared" si="4"/>
        <v>38782</v>
      </c>
      <c r="U30" s="559">
        <f t="shared" si="5"/>
        <v>-46</v>
      </c>
    </row>
    <row r="31" spans="1:21" s="558" customFormat="1">
      <c r="A31" s="554" t="s">
        <v>79</v>
      </c>
      <c r="B31" s="555">
        <v>920</v>
      </c>
      <c r="C31" s="555">
        <v>133</v>
      </c>
      <c r="D31" s="555">
        <v>0</v>
      </c>
      <c r="E31" s="555">
        <v>125</v>
      </c>
      <c r="F31" s="555">
        <v>2685</v>
      </c>
      <c r="G31" s="555">
        <v>697</v>
      </c>
      <c r="H31" s="555">
        <v>19033</v>
      </c>
      <c r="I31" s="555">
        <v>0</v>
      </c>
      <c r="J31" s="555">
        <v>57</v>
      </c>
      <c r="K31" s="555">
        <v>1748</v>
      </c>
      <c r="L31" s="555">
        <v>154</v>
      </c>
      <c r="M31" s="557">
        <v>25552</v>
      </c>
      <c r="O31" s="559">
        <f t="shared" si="0"/>
        <v>1045</v>
      </c>
      <c r="P31" s="559">
        <f t="shared" si="1"/>
        <v>3515</v>
      </c>
      <c r="Q31" s="559">
        <f t="shared" si="2"/>
        <v>20992</v>
      </c>
      <c r="R31" s="594">
        <f t="shared" si="3"/>
        <v>41987</v>
      </c>
      <c r="S31" s="560">
        <f t="shared" si="6"/>
        <v>2.3140849069293173E-2</v>
      </c>
      <c r="T31" s="559">
        <f t="shared" si="4"/>
        <v>25552</v>
      </c>
      <c r="U31" s="559">
        <f t="shared" si="5"/>
        <v>0</v>
      </c>
    </row>
    <row r="32" spans="1:21" s="558" customFormat="1">
      <c r="A32" s="554" t="s">
        <v>80</v>
      </c>
      <c r="B32" s="555">
        <v>81</v>
      </c>
      <c r="C32" s="555">
        <v>0</v>
      </c>
      <c r="D32" s="555">
        <v>0</v>
      </c>
      <c r="E32" s="555">
        <v>46</v>
      </c>
      <c r="F32" s="555">
        <v>191</v>
      </c>
      <c r="G32" s="555">
        <v>188</v>
      </c>
      <c r="H32" s="555">
        <v>7550</v>
      </c>
      <c r="I32" s="555">
        <v>0</v>
      </c>
      <c r="J32" s="555">
        <v>6</v>
      </c>
      <c r="K32" s="555">
        <v>544</v>
      </c>
      <c r="L32" s="555">
        <v>103</v>
      </c>
      <c r="M32" s="557">
        <v>8710</v>
      </c>
      <c r="O32" s="559">
        <f t="shared" si="0"/>
        <v>127</v>
      </c>
      <c r="P32" s="559">
        <f t="shared" si="1"/>
        <v>379</v>
      </c>
      <c r="Q32" s="559">
        <f t="shared" si="2"/>
        <v>8203</v>
      </c>
      <c r="R32" s="594">
        <f t="shared" si="3"/>
        <v>10610</v>
      </c>
      <c r="S32" s="560">
        <f t="shared" si="6"/>
        <v>5.8476292334579891E-3</v>
      </c>
      <c r="T32" s="559">
        <f t="shared" si="4"/>
        <v>8709</v>
      </c>
      <c r="U32" s="559">
        <f t="shared" si="5"/>
        <v>-1</v>
      </c>
    </row>
    <row r="33" spans="1:43" s="558" customFormat="1">
      <c r="A33" s="554" t="s">
        <v>81</v>
      </c>
      <c r="B33" s="555">
        <v>2875</v>
      </c>
      <c r="C33" s="555">
        <v>72</v>
      </c>
      <c r="D33" s="555">
        <v>0</v>
      </c>
      <c r="E33" s="555">
        <v>255</v>
      </c>
      <c r="F33" s="555">
        <v>4104</v>
      </c>
      <c r="G33" s="555">
        <v>744</v>
      </c>
      <c r="H33" s="555">
        <v>29527</v>
      </c>
      <c r="I33" s="555">
        <v>60</v>
      </c>
      <c r="J33" s="555">
        <v>245</v>
      </c>
      <c r="K33" s="555">
        <v>164</v>
      </c>
      <c r="L33" s="555">
        <v>372</v>
      </c>
      <c r="M33" s="557">
        <v>38416</v>
      </c>
      <c r="O33" s="559">
        <f t="shared" si="0"/>
        <v>3130</v>
      </c>
      <c r="P33" s="559">
        <f t="shared" si="1"/>
        <v>4920</v>
      </c>
      <c r="Q33" s="559">
        <f t="shared" si="2"/>
        <v>30368</v>
      </c>
      <c r="R33" s="594">
        <f t="shared" si="3"/>
        <v>76428</v>
      </c>
      <c r="S33" s="560">
        <f t="shared" si="6"/>
        <v>4.2122771635695305E-2</v>
      </c>
      <c r="T33" s="559">
        <f t="shared" si="4"/>
        <v>38418</v>
      </c>
      <c r="U33" s="559">
        <f t="shared" si="5"/>
        <v>2</v>
      </c>
    </row>
    <row r="34" spans="1:43" s="558" customFormat="1">
      <c r="A34" s="554" t="s">
        <v>52</v>
      </c>
      <c r="B34" s="555">
        <v>876</v>
      </c>
      <c r="C34" s="555">
        <v>10</v>
      </c>
      <c r="D34" s="555">
        <v>0</v>
      </c>
      <c r="E34" s="555">
        <v>49</v>
      </c>
      <c r="F34" s="555">
        <v>2332</v>
      </c>
      <c r="G34" s="555">
        <v>770</v>
      </c>
      <c r="H34" s="555">
        <v>18213</v>
      </c>
      <c r="I34" s="555">
        <v>127</v>
      </c>
      <c r="J34" s="555">
        <v>227</v>
      </c>
      <c r="K34" s="555">
        <v>510</v>
      </c>
      <c r="L34" s="555">
        <v>91</v>
      </c>
      <c r="M34" s="557">
        <v>23205</v>
      </c>
      <c r="O34" s="559">
        <f t="shared" si="0"/>
        <v>925</v>
      </c>
      <c r="P34" s="559">
        <f t="shared" si="1"/>
        <v>3112</v>
      </c>
      <c r="Q34" s="559">
        <f t="shared" si="2"/>
        <v>19168</v>
      </c>
      <c r="R34" s="594">
        <f t="shared" si="3"/>
        <v>37754</v>
      </c>
      <c r="S34" s="560">
        <f t="shared" si="6"/>
        <v>2.0807859950987079E-2</v>
      </c>
      <c r="T34" s="559">
        <f t="shared" si="4"/>
        <v>23205</v>
      </c>
      <c r="U34" s="559">
        <f t="shared" si="5"/>
        <v>0</v>
      </c>
    </row>
    <row r="35" spans="1:43" s="558" customFormat="1">
      <c r="A35" s="554" t="s">
        <v>41</v>
      </c>
      <c r="B35" s="555">
        <v>302</v>
      </c>
      <c r="C35" s="555">
        <v>17</v>
      </c>
      <c r="D35" s="555">
        <v>0</v>
      </c>
      <c r="E35" s="555">
        <v>22</v>
      </c>
      <c r="F35" s="555">
        <v>1736</v>
      </c>
      <c r="G35" s="555">
        <v>778</v>
      </c>
      <c r="H35" s="555">
        <v>8805</v>
      </c>
      <c r="I35" s="555">
        <v>656</v>
      </c>
      <c r="J35" s="555">
        <v>372</v>
      </c>
      <c r="K35" s="555">
        <v>991</v>
      </c>
      <c r="L35" s="555">
        <v>82</v>
      </c>
      <c r="M35" s="557">
        <v>13761</v>
      </c>
      <c r="O35" s="559">
        <f t="shared" si="0"/>
        <v>324</v>
      </c>
      <c r="P35" s="559">
        <f t="shared" si="1"/>
        <v>2531</v>
      </c>
      <c r="Q35" s="559">
        <f t="shared" si="2"/>
        <v>10906</v>
      </c>
      <c r="R35" s="594">
        <f t="shared" si="3"/>
        <v>21739</v>
      </c>
      <c r="S35" s="560">
        <f t="shared" si="6"/>
        <v>1.1981301781917364E-2</v>
      </c>
      <c r="T35" s="559">
        <f t="shared" si="4"/>
        <v>13761</v>
      </c>
      <c r="U35" s="559">
        <f t="shared" si="5"/>
        <v>0</v>
      </c>
    </row>
    <row r="36" spans="1:43" s="558" customFormat="1">
      <c r="A36" s="554" t="s">
        <v>82</v>
      </c>
      <c r="B36" s="555">
        <v>2950</v>
      </c>
      <c r="C36" s="556" t="s">
        <v>69</v>
      </c>
      <c r="D36" s="555">
        <v>0</v>
      </c>
      <c r="E36" s="555">
        <v>703</v>
      </c>
      <c r="F36" s="555">
        <v>8263</v>
      </c>
      <c r="G36" s="555">
        <v>847</v>
      </c>
      <c r="H36" s="555">
        <v>28944</v>
      </c>
      <c r="I36" s="555">
        <v>0</v>
      </c>
      <c r="J36" s="555">
        <v>117</v>
      </c>
      <c r="K36" s="556" t="s">
        <v>309</v>
      </c>
      <c r="L36" s="555">
        <v>375</v>
      </c>
      <c r="M36" s="557">
        <v>42262</v>
      </c>
      <c r="O36" s="559">
        <f t="shared" si="0"/>
        <v>3653</v>
      </c>
      <c r="P36" s="559">
        <f t="shared" si="1"/>
        <v>9110</v>
      </c>
      <c r="Q36" s="559">
        <f t="shared" si="2"/>
        <v>29436</v>
      </c>
      <c r="R36" s="594">
        <f t="shared" si="3"/>
        <v>93296</v>
      </c>
      <c r="S36" s="560">
        <f t="shared" si="6"/>
        <v>5.1419454944834735E-2</v>
      </c>
      <c r="T36" s="559">
        <f t="shared" si="4"/>
        <v>42199</v>
      </c>
      <c r="U36" s="559">
        <f t="shared" si="5"/>
        <v>-63</v>
      </c>
    </row>
    <row r="37" spans="1:43" s="558" customFormat="1">
      <c r="A37" s="554" t="s">
        <v>54</v>
      </c>
      <c r="B37" s="555">
        <v>828</v>
      </c>
      <c r="C37" s="555">
        <v>0</v>
      </c>
      <c r="D37" s="555">
        <v>0</v>
      </c>
      <c r="E37" s="555">
        <v>58</v>
      </c>
      <c r="F37" s="555">
        <v>1579</v>
      </c>
      <c r="G37" s="555">
        <v>717</v>
      </c>
      <c r="H37" s="555">
        <v>13796</v>
      </c>
      <c r="I37" s="555">
        <v>310</v>
      </c>
      <c r="J37" s="555">
        <v>359</v>
      </c>
      <c r="K37" s="555">
        <v>659</v>
      </c>
      <c r="L37" s="555">
        <v>0</v>
      </c>
      <c r="M37" s="557">
        <v>18307</v>
      </c>
      <c r="O37" s="559">
        <f t="shared" si="0"/>
        <v>886</v>
      </c>
      <c r="P37" s="559">
        <f t="shared" si="1"/>
        <v>2296</v>
      </c>
      <c r="Q37" s="559">
        <f t="shared" si="2"/>
        <v>15124</v>
      </c>
      <c r="R37" s="594">
        <f t="shared" si="3"/>
        <v>30872</v>
      </c>
      <c r="S37" s="560">
        <f t="shared" si="6"/>
        <v>1.7014892525477384E-2</v>
      </c>
      <c r="T37" s="559">
        <f t="shared" si="4"/>
        <v>18306</v>
      </c>
      <c r="U37" s="559">
        <f t="shared" si="5"/>
        <v>-1</v>
      </c>
    </row>
    <row r="38" spans="1:43" s="558" customFormat="1">
      <c r="A38" s="554" t="s">
        <v>21</v>
      </c>
      <c r="B38" s="555">
        <v>934</v>
      </c>
      <c r="C38" s="555">
        <v>0</v>
      </c>
      <c r="D38" s="555">
        <v>0</v>
      </c>
      <c r="E38" s="555">
        <v>121</v>
      </c>
      <c r="F38" s="555">
        <v>4977</v>
      </c>
      <c r="G38" s="555">
        <v>782</v>
      </c>
      <c r="H38" s="555">
        <v>19152</v>
      </c>
      <c r="I38" s="555">
        <v>0</v>
      </c>
      <c r="J38" s="555">
        <v>15</v>
      </c>
      <c r="K38" s="555">
        <v>569</v>
      </c>
      <c r="L38" s="555">
        <v>84</v>
      </c>
      <c r="M38" s="557">
        <v>26634</v>
      </c>
      <c r="O38" s="559">
        <f t="shared" si="0"/>
        <v>1055</v>
      </c>
      <c r="P38" s="559">
        <f t="shared" si="1"/>
        <v>5759</v>
      </c>
      <c r="Q38" s="559">
        <f t="shared" si="2"/>
        <v>19820</v>
      </c>
      <c r="R38" s="594">
        <f t="shared" si="3"/>
        <v>47647</v>
      </c>
      <c r="S38" s="560">
        <f t="shared" si="6"/>
        <v>2.6260319518055873E-2</v>
      </c>
      <c r="T38" s="559">
        <f t="shared" si="4"/>
        <v>26634</v>
      </c>
      <c r="U38" s="559">
        <f t="shared" si="5"/>
        <v>0</v>
      </c>
    </row>
    <row r="39" spans="1:43" s="558" customFormat="1">
      <c r="A39" s="554" t="s">
        <v>42</v>
      </c>
      <c r="B39" s="555">
        <v>145</v>
      </c>
      <c r="C39" s="555">
        <v>0</v>
      </c>
      <c r="D39" s="555">
        <v>0</v>
      </c>
      <c r="E39" s="555">
        <v>25</v>
      </c>
      <c r="F39" s="555">
        <v>292</v>
      </c>
      <c r="G39" s="555">
        <v>208</v>
      </c>
      <c r="H39" s="555">
        <v>5881</v>
      </c>
      <c r="I39" s="555">
        <v>41</v>
      </c>
      <c r="J39" s="555">
        <v>5</v>
      </c>
      <c r="K39" s="555">
        <v>460</v>
      </c>
      <c r="L39" s="555">
        <v>206</v>
      </c>
      <c r="M39" s="557">
        <v>7263</v>
      </c>
      <c r="O39" s="559">
        <f t="shared" si="0"/>
        <v>170</v>
      </c>
      <c r="P39" s="559">
        <f t="shared" si="1"/>
        <v>500</v>
      </c>
      <c r="Q39" s="559">
        <f t="shared" si="2"/>
        <v>6593</v>
      </c>
      <c r="R39" s="594">
        <f t="shared" si="3"/>
        <v>9793</v>
      </c>
      <c r="S39" s="560">
        <f t="shared" si="6"/>
        <v>5.397345248186059E-3</v>
      </c>
      <c r="T39" s="559">
        <f t="shared" si="4"/>
        <v>7263</v>
      </c>
      <c r="U39" s="559">
        <f t="shared" si="5"/>
        <v>0</v>
      </c>
    </row>
    <row r="40" spans="1:43" s="558" customFormat="1">
      <c r="A40" s="554" t="s">
        <v>83</v>
      </c>
      <c r="B40" s="555">
        <v>1416</v>
      </c>
      <c r="C40" s="555">
        <v>20</v>
      </c>
      <c r="D40" s="555">
        <v>157</v>
      </c>
      <c r="E40" s="555">
        <v>146</v>
      </c>
      <c r="F40" s="555">
        <v>1550</v>
      </c>
      <c r="G40" s="555">
        <v>487</v>
      </c>
      <c r="H40" s="555">
        <v>16658</v>
      </c>
      <c r="I40" s="555">
        <v>0</v>
      </c>
      <c r="J40" s="555">
        <v>192</v>
      </c>
      <c r="K40" s="555">
        <v>53</v>
      </c>
      <c r="L40" s="555">
        <v>0</v>
      </c>
      <c r="M40" s="557">
        <v>20681</v>
      </c>
      <c r="O40" s="559">
        <f t="shared" si="0"/>
        <v>1562</v>
      </c>
      <c r="P40" s="559">
        <f t="shared" si="1"/>
        <v>2214</v>
      </c>
      <c r="Q40" s="559">
        <f t="shared" si="2"/>
        <v>16903</v>
      </c>
      <c r="R40" s="594">
        <f t="shared" si="3"/>
        <v>39165</v>
      </c>
      <c r="S40" s="560">
        <f t="shared" si="6"/>
        <v>2.1585522990422445E-2</v>
      </c>
      <c r="T40" s="559">
        <f t="shared" si="4"/>
        <v>20679</v>
      </c>
      <c r="U40" s="559">
        <f t="shared" si="5"/>
        <v>-2</v>
      </c>
    </row>
    <row r="41" spans="1:43" s="558" customFormat="1">
      <c r="A41" s="562" t="s">
        <v>22</v>
      </c>
      <c r="B41" s="563">
        <v>668</v>
      </c>
      <c r="C41" s="563">
        <v>0</v>
      </c>
      <c r="D41" s="563">
        <v>0</v>
      </c>
      <c r="E41" s="564" t="s">
        <v>69</v>
      </c>
      <c r="F41" s="563">
        <v>3206</v>
      </c>
      <c r="G41" s="563">
        <v>246</v>
      </c>
      <c r="H41" s="563">
        <v>25622</v>
      </c>
      <c r="I41" s="564" t="s">
        <v>309</v>
      </c>
      <c r="J41" s="563">
        <v>850</v>
      </c>
      <c r="K41" s="563">
        <v>549</v>
      </c>
      <c r="L41" s="563">
        <v>149</v>
      </c>
      <c r="M41" s="565">
        <v>31351</v>
      </c>
      <c r="O41" s="559">
        <f t="shared" si="0"/>
        <v>668</v>
      </c>
      <c r="P41" s="559">
        <f t="shared" si="1"/>
        <v>3452</v>
      </c>
      <c r="Q41" s="559">
        <f t="shared" si="2"/>
        <v>27170</v>
      </c>
      <c r="R41" s="594">
        <f t="shared" si="3"/>
        <v>44206</v>
      </c>
      <c r="S41" s="560">
        <f t="shared" si="6"/>
        <v>2.4363835805301024E-2</v>
      </c>
      <c r="T41" s="559">
        <f t="shared" si="4"/>
        <v>31290</v>
      </c>
      <c r="U41" s="559">
        <f t="shared" si="5"/>
        <v>-61</v>
      </c>
    </row>
    <row r="42" spans="1:43" s="558" customFormat="1">
      <c r="A42" s="554" t="s">
        <v>23</v>
      </c>
      <c r="B42" s="563">
        <v>1116</v>
      </c>
      <c r="C42" s="564" t="s">
        <v>309</v>
      </c>
      <c r="D42" s="563">
        <v>0</v>
      </c>
      <c r="E42" s="563">
        <v>143</v>
      </c>
      <c r="F42" s="563">
        <v>3114</v>
      </c>
      <c r="G42" s="563">
        <v>699</v>
      </c>
      <c r="H42" s="563">
        <v>17225</v>
      </c>
      <c r="I42" s="563">
        <v>0</v>
      </c>
      <c r="J42" s="564" t="s">
        <v>69</v>
      </c>
      <c r="K42" s="563">
        <v>386</v>
      </c>
      <c r="L42" s="563">
        <v>298</v>
      </c>
      <c r="M42" s="565">
        <v>22996</v>
      </c>
      <c r="O42" s="559">
        <f t="shared" si="0"/>
        <v>1259</v>
      </c>
      <c r="P42" s="559">
        <f t="shared" si="1"/>
        <v>3813</v>
      </c>
      <c r="Q42" s="559">
        <f t="shared" si="2"/>
        <v>17909</v>
      </c>
      <c r="R42" s="594">
        <f t="shared" si="3"/>
        <v>41938</v>
      </c>
      <c r="S42" s="560">
        <f t="shared" si="6"/>
        <v>2.3113843053040636E-2</v>
      </c>
      <c r="T42" s="559">
        <f t="shared" si="4"/>
        <v>22981</v>
      </c>
      <c r="U42" s="559">
        <f t="shared" si="5"/>
        <v>-15</v>
      </c>
    </row>
    <row r="43" spans="1:43" s="558" customFormat="1">
      <c r="A43" s="554" t="s">
        <v>33</v>
      </c>
      <c r="B43" s="555">
        <v>535</v>
      </c>
      <c r="C43" s="555">
        <v>9</v>
      </c>
      <c r="D43" s="555">
        <v>0</v>
      </c>
      <c r="E43" s="555">
        <v>35</v>
      </c>
      <c r="F43" s="555">
        <v>1483</v>
      </c>
      <c r="G43" s="555">
        <v>599</v>
      </c>
      <c r="H43" s="555">
        <v>15593</v>
      </c>
      <c r="I43" s="555">
        <v>9</v>
      </c>
      <c r="J43" s="555">
        <v>998</v>
      </c>
      <c r="K43" s="555">
        <v>266</v>
      </c>
      <c r="L43" s="555">
        <v>185</v>
      </c>
      <c r="M43" s="557">
        <v>19713</v>
      </c>
      <c r="O43" s="559">
        <f t="shared" si="0"/>
        <v>570</v>
      </c>
      <c r="P43" s="559">
        <f t="shared" si="1"/>
        <v>2091</v>
      </c>
      <c r="Q43" s="559">
        <f t="shared" si="2"/>
        <v>17051</v>
      </c>
      <c r="R43" s="594">
        <f t="shared" si="3"/>
        <v>29024</v>
      </c>
      <c r="S43" s="560">
        <f t="shared" si="6"/>
        <v>1.5996379912524474E-2</v>
      </c>
      <c r="T43" s="559">
        <f t="shared" si="4"/>
        <v>19712</v>
      </c>
      <c r="U43" s="559">
        <f t="shared" si="5"/>
        <v>-1</v>
      </c>
    </row>
    <row r="44" spans="1:43" s="558" customFormat="1">
      <c r="A44" s="554"/>
      <c r="B44" s="555"/>
      <c r="C44" s="555"/>
      <c r="D44" s="555"/>
      <c r="E44" s="555"/>
      <c r="F44" s="555"/>
      <c r="G44" s="555"/>
      <c r="H44" s="555"/>
      <c r="I44" s="555"/>
      <c r="J44" s="555"/>
      <c r="K44" s="555"/>
      <c r="L44" s="555"/>
      <c r="M44" s="557"/>
      <c r="O44" s="559"/>
      <c r="P44" s="559"/>
      <c r="Q44" s="559"/>
      <c r="R44" s="594"/>
      <c r="S44" s="560"/>
      <c r="T44" s="559"/>
      <c r="U44" s="559"/>
    </row>
    <row r="45" spans="1:43" s="558" customFormat="1">
      <c r="A45" s="554" t="s">
        <v>314</v>
      </c>
      <c r="B45" s="555">
        <f t="shared" ref="B45:S45" si="7">SUM(B5:B44)</f>
        <v>39142</v>
      </c>
      <c r="C45" s="555">
        <f t="shared" si="7"/>
        <v>558</v>
      </c>
      <c r="D45" s="555">
        <f>SUM(D5:D44)</f>
        <v>797</v>
      </c>
      <c r="E45" s="555">
        <f t="shared" si="7"/>
        <v>4584</v>
      </c>
      <c r="F45" s="555">
        <f>SUM(F5:F44)</f>
        <v>112388</v>
      </c>
      <c r="G45" s="555">
        <f t="shared" si="7"/>
        <v>29706</v>
      </c>
      <c r="H45" s="555">
        <f t="shared" si="7"/>
        <v>664746</v>
      </c>
      <c r="I45" s="555">
        <f t="shared" si="7"/>
        <v>5786</v>
      </c>
      <c r="J45" s="555">
        <f t="shared" si="7"/>
        <v>9382</v>
      </c>
      <c r="K45" s="555">
        <f t="shared" si="7"/>
        <v>12354</v>
      </c>
      <c r="L45" s="555">
        <f t="shared" si="7"/>
        <v>6720</v>
      </c>
      <c r="M45" s="555">
        <f t="shared" si="7"/>
        <v>886630</v>
      </c>
      <c r="N45" s="555">
        <f t="shared" si="7"/>
        <v>0</v>
      </c>
      <c r="O45" s="555">
        <f t="shared" si="7"/>
        <v>43726</v>
      </c>
      <c r="P45" s="555">
        <f t="shared" si="7"/>
        <v>143449</v>
      </c>
      <c r="Q45" s="555">
        <f t="shared" si="7"/>
        <v>698988</v>
      </c>
      <c r="R45" s="595">
        <f t="shared" si="7"/>
        <v>1566595</v>
      </c>
      <c r="S45" s="566">
        <f t="shared" si="7"/>
        <v>0.86341816390095349</v>
      </c>
      <c r="T45" s="559">
        <f t="shared" si="4"/>
        <v>886163</v>
      </c>
      <c r="U45" s="559">
        <f t="shared" si="5"/>
        <v>-467</v>
      </c>
    </row>
    <row r="46" spans="1:43" s="570" customFormat="1">
      <c r="A46" s="567" t="s">
        <v>10</v>
      </c>
      <c r="B46" s="568">
        <f t="shared" ref="B46:M46" si="8">SUM(B5:B43)</f>
        <v>39142</v>
      </c>
      <c r="C46" s="569">
        <f t="shared" si="8"/>
        <v>558</v>
      </c>
      <c r="D46" s="569">
        <f>SUM(D5:D43)</f>
        <v>797</v>
      </c>
      <c r="E46" s="569">
        <f t="shared" si="8"/>
        <v>4584</v>
      </c>
      <c r="F46" s="569">
        <f>SUM(F5:F43)</f>
        <v>112388</v>
      </c>
      <c r="G46" s="569">
        <f t="shared" si="8"/>
        <v>29706</v>
      </c>
      <c r="H46" s="569">
        <f t="shared" si="8"/>
        <v>664746</v>
      </c>
      <c r="I46" s="569">
        <f t="shared" si="8"/>
        <v>5786</v>
      </c>
      <c r="J46" s="569">
        <f t="shared" si="8"/>
        <v>9382</v>
      </c>
      <c r="K46" s="569">
        <f t="shared" si="8"/>
        <v>12354</v>
      </c>
      <c r="L46" s="569">
        <f t="shared" si="8"/>
        <v>6720</v>
      </c>
      <c r="M46" s="569">
        <f t="shared" si="8"/>
        <v>886630</v>
      </c>
      <c r="O46" s="571">
        <f>SUM(O5:O43)</f>
        <v>43726</v>
      </c>
      <c r="P46" s="571">
        <f>SUM(P5:P43)</f>
        <v>143449</v>
      </c>
      <c r="Q46" s="571">
        <f>SUM(Q5:Q43)</f>
        <v>698988</v>
      </c>
      <c r="R46" s="596">
        <f>SUM(R5:R43)</f>
        <v>1566595</v>
      </c>
      <c r="S46" s="572">
        <f>SUM(S5:S43)</f>
        <v>0.86341816390095349</v>
      </c>
      <c r="T46" s="559">
        <f t="shared" si="4"/>
        <v>886163</v>
      </c>
      <c r="U46" s="559">
        <f t="shared" si="5"/>
        <v>-467</v>
      </c>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row>
    <row r="47" spans="1:43" s="558" customFormat="1">
      <c r="A47" s="574" t="s">
        <v>225</v>
      </c>
      <c r="B47" s="575">
        <v>37864</v>
      </c>
      <c r="C47" s="575">
        <v>802</v>
      </c>
      <c r="D47" s="563">
        <v>0</v>
      </c>
      <c r="E47" s="575">
        <v>4748</v>
      </c>
      <c r="F47" s="575">
        <v>106063</v>
      </c>
      <c r="G47" s="575">
        <v>33662</v>
      </c>
      <c r="H47" s="575">
        <v>673478</v>
      </c>
      <c r="I47" s="575">
        <v>7649</v>
      </c>
      <c r="J47" s="575">
        <v>20960</v>
      </c>
      <c r="K47" s="575">
        <v>10886</v>
      </c>
      <c r="L47" s="575">
        <v>6981</v>
      </c>
      <c r="M47" s="575">
        <v>903094</v>
      </c>
      <c r="R47" s="594"/>
      <c r="T47" s="559"/>
      <c r="U47" s="559"/>
    </row>
    <row r="48" spans="1:43" s="558" customFormat="1">
      <c r="A48" s="574"/>
      <c r="B48" s="575"/>
      <c r="C48" s="575"/>
      <c r="D48" s="563"/>
      <c r="E48" s="575"/>
      <c r="F48" s="575"/>
      <c r="G48" s="575"/>
      <c r="H48" s="575"/>
      <c r="I48" s="575"/>
      <c r="J48" s="575"/>
      <c r="K48" s="575"/>
      <c r="L48" s="575"/>
      <c r="M48" s="575"/>
      <c r="R48" s="594"/>
      <c r="T48" s="559"/>
      <c r="U48" s="559"/>
    </row>
    <row r="49" spans="1:256" s="573" customFormat="1">
      <c r="A49" s="576" t="s">
        <v>126</v>
      </c>
      <c r="B49" s="577"/>
      <c r="C49" s="577"/>
      <c r="D49" s="577"/>
      <c r="E49" s="577"/>
      <c r="F49" s="577"/>
      <c r="G49" s="577"/>
      <c r="H49" s="577"/>
      <c r="I49" s="577"/>
      <c r="J49" s="577"/>
      <c r="K49" s="577"/>
      <c r="L49" s="577"/>
      <c r="M49" s="578">
        <v>18837.429599999999</v>
      </c>
      <c r="N49" s="577"/>
      <c r="O49" s="579">
        <v>416.1191</v>
      </c>
      <c r="P49" s="579">
        <v>2569.1267999999995</v>
      </c>
      <c r="Q49" s="579">
        <v>15852.1837</v>
      </c>
      <c r="R49" s="597">
        <v>27720.755099999995</v>
      </c>
      <c r="S49" s="580">
        <f>SUM(R49/($R$46+$R$57))</f>
        <v>1.5278105362515514E-2</v>
      </c>
      <c r="T49" s="559">
        <f>SUM(O49:Q49)</f>
        <v>18837.429599999999</v>
      </c>
      <c r="U49" s="559">
        <f t="shared" si="5"/>
        <v>0</v>
      </c>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c r="BR49" s="577"/>
      <c r="BS49" s="577"/>
      <c r="BT49" s="577"/>
      <c r="BU49" s="577"/>
      <c r="BV49" s="577"/>
      <c r="BW49" s="577"/>
      <c r="BX49" s="577"/>
      <c r="BY49" s="577"/>
      <c r="BZ49" s="577"/>
      <c r="CA49" s="577"/>
      <c r="CB49" s="577"/>
      <c r="CC49" s="577"/>
      <c r="CD49" s="577"/>
      <c r="CE49" s="577"/>
      <c r="CF49" s="577"/>
      <c r="CG49" s="577"/>
      <c r="CH49" s="577"/>
      <c r="CI49" s="577"/>
      <c r="CJ49" s="577"/>
      <c r="CK49" s="577"/>
      <c r="CL49" s="577"/>
      <c r="CM49" s="577"/>
      <c r="CN49" s="577"/>
      <c r="CO49" s="577"/>
      <c r="CP49" s="577"/>
      <c r="CQ49" s="577"/>
      <c r="CR49" s="577"/>
      <c r="CS49" s="577"/>
      <c r="CT49" s="577"/>
      <c r="CU49" s="577"/>
      <c r="CV49" s="577"/>
      <c r="CW49" s="577"/>
      <c r="CX49" s="577"/>
      <c r="CY49" s="577"/>
      <c r="CZ49" s="577"/>
      <c r="DA49" s="577"/>
      <c r="DB49" s="577"/>
      <c r="DC49" s="577"/>
      <c r="DD49" s="577"/>
      <c r="DE49" s="577"/>
      <c r="DF49" s="577"/>
      <c r="DG49" s="577"/>
      <c r="DH49" s="577"/>
      <c r="DI49" s="577"/>
      <c r="DJ49" s="577"/>
      <c r="DK49" s="577"/>
      <c r="DL49" s="577"/>
      <c r="DM49" s="577"/>
      <c r="DN49" s="577"/>
      <c r="DO49" s="577"/>
      <c r="DP49" s="577"/>
      <c r="DQ49" s="577"/>
      <c r="DR49" s="577"/>
      <c r="DS49" s="577"/>
      <c r="DT49" s="577"/>
      <c r="DU49" s="577"/>
      <c r="DV49" s="577"/>
      <c r="DW49" s="577"/>
      <c r="DX49" s="577"/>
      <c r="DY49" s="577"/>
      <c r="DZ49" s="577"/>
      <c r="EA49" s="577"/>
      <c r="EB49" s="577"/>
      <c r="EC49" s="577"/>
      <c r="ED49" s="577"/>
      <c r="EE49" s="577"/>
      <c r="EF49" s="577"/>
      <c r="EG49" s="577"/>
      <c r="EH49" s="577"/>
      <c r="EI49" s="577"/>
      <c r="EJ49" s="577"/>
      <c r="EK49" s="577"/>
      <c r="EL49" s="577"/>
      <c r="EM49" s="577"/>
      <c r="EN49" s="577"/>
      <c r="EO49" s="577"/>
      <c r="EP49" s="577"/>
      <c r="EQ49" s="577"/>
      <c r="ER49" s="577"/>
      <c r="ES49" s="577"/>
      <c r="ET49" s="577"/>
      <c r="EU49" s="577"/>
      <c r="EV49" s="577"/>
      <c r="EW49" s="577"/>
      <c r="EX49" s="577"/>
      <c r="EY49" s="577"/>
      <c r="EZ49" s="577"/>
      <c r="FA49" s="577"/>
      <c r="FB49" s="577"/>
      <c r="FC49" s="577"/>
      <c r="FD49" s="577"/>
      <c r="FE49" s="577"/>
      <c r="FF49" s="577"/>
      <c r="FG49" s="577"/>
      <c r="FH49" s="577"/>
      <c r="FI49" s="577"/>
      <c r="FJ49" s="577"/>
      <c r="FK49" s="577"/>
      <c r="FL49" s="577"/>
      <c r="FM49" s="577"/>
      <c r="FN49" s="577"/>
      <c r="FO49" s="577"/>
      <c r="FP49" s="577"/>
      <c r="FQ49" s="577"/>
      <c r="FR49" s="577"/>
      <c r="FS49" s="577"/>
      <c r="FT49" s="577"/>
      <c r="FU49" s="577"/>
      <c r="FV49" s="577"/>
      <c r="FW49" s="577"/>
      <c r="FX49" s="577"/>
      <c r="FY49" s="577"/>
      <c r="FZ49" s="577"/>
      <c r="GA49" s="577"/>
      <c r="GB49" s="577"/>
      <c r="GC49" s="577"/>
      <c r="GD49" s="577"/>
      <c r="GE49" s="577"/>
      <c r="GF49" s="577"/>
      <c r="GG49" s="577"/>
      <c r="GH49" s="577"/>
      <c r="GI49" s="577"/>
      <c r="GJ49" s="577"/>
      <c r="GK49" s="577"/>
      <c r="GL49" s="577"/>
      <c r="GM49" s="577"/>
      <c r="GN49" s="577"/>
      <c r="GO49" s="577"/>
      <c r="GP49" s="577"/>
      <c r="GQ49" s="577"/>
      <c r="GR49" s="577"/>
      <c r="GS49" s="577"/>
      <c r="GT49" s="577"/>
      <c r="GU49" s="577"/>
      <c r="GV49" s="577"/>
      <c r="GW49" s="577"/>
      <c r="GX49" s="577"/>
      <c r="GY49" s="577"/>
      <c r="GZ49" s="577"/>
      <c r="HA49" s="577"/>
      <c r="HB49" s="577"/>
      <c r="HC49" s="577"/>
      <c r="HD49" s="577"/>
      <c r="HE49" s="577"/>
      <c r="HF49" s="577"/>
      <c r="HG49" s="577"/>
      <c r="HH49" s="577"/>
      <c r="HI49" s="577"/>
      <c r="HJ49" s="577"/>
      <c r="HK49" s="577"/>
      <c r="HL49" s="577"/>
      <c r="HM49" s="577"/>
      <c r="HN49" s="577"/>
      <c r="HO49" s="577"/>
      <c r="HP49" s="577"/>
      <c r="HQ49" s="577"/>
      <c r="HR49" s="577"/>
      <c r="HS49" s="577"/>
      <c r="HT49" s="577"/>
      <c r="HU49" s="577"/>
      <c r="HV49" s="577"/>
      <c r="HW49" s="577"/>
      <c r="HX49" s="577"/>
      <c r="HY49" s="577"/>
      <c r="HZ49" s="577"/>
      <c r="IA49" s="577"/>
      <c r="IB49" s="577"/>
      <c r="IC49" s="577"/>
      <c r="ID49" s="577"/>
      <c r="IE49" s="577"/>
      <c r="IF49" s="577"/>
      <c r="IG49" s="577"/>
      <c r="IH49" s="577"/>
      <c r="II49" s="577"/>
      <c r="IJ49" s="577"/>
      <c r="IK49" s="577"/>
      <c r="IL49" s="577"/>
      <c r="IM49" s="577"/>
      <c r="IN49" s="577"/>
      <c r="IO49" s="577"/>
      <c r="IP49" s="577"/>
      <c r="IQ49" s="577"/>
      <c r="IR49" s="577"/>
      <c r="IS49" s="577"/>
      <c r="IT49" s="577"/>
      <c r="IU49" s="577"/>
      <c r="IV49" s="577"/>
    </row>
    <row r="50" spans="1:256" s="573" customFormat="1">
      <c r="A50" s="576" t="s">
        <v>124</v>
      </c>
      <c r="B50" s="577"/>
      <c r="C50" s="577"/>
      <c r="D50" s="577"/>
      <c r="E50" s="577"/>
      <c r="F50" s="577"/>
      <c r="G50" s="577"/>
      <c r="H50" s="577"/>
      <c r="I50" s="577"/>
      <c r="J50" s="577"/>
      <c r="K50" s="577"/>
      <c r="L50" s="577"/>
      <c r="M50" s="578">
        <v>3238.4863999999998</v>
      </c>
      <c r="N50" s="577"/>
      <c r="O50" s="579">
        <v>177.94900000000001</v>
      </c>
      <c r="P50" s="579">
        <v>298.24439999999998</v>
      </c>
      <c r="Q50" s="579">
        <v>2762.2929999999997</v>
      </c>
      <c r="R50" s="597">
        <v>5436.5162</v>
      </c>
      <c r="S50" s="580">
        <f t="shared" ref="S50:S56" si="9">SUM(R50/($R$46+$R$57))</f>
        <v>2.9962988745794476E-3</v>
      </c>
      <c r="T50" s="559">
        <f t="shared" si="4"/>
        <v>3238.4863999999998</v>
      </c>
      <c r="U50" s="559">
        <f t="shared" si="5"/>
        <v>0</v>
      </c>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c r="BR50" s="577"/>
      <c r="BS50" s="577"/>
      <c r="BT50" s="577"/>
      <c r="BU50" s="577"/>
      <c r="BV50" s="577"/>
      <c r="BW50" s="577"/>
      <c r="BX50" s="577"/>
      <c r="BY50" s="577"/>
      <c r="BZ50" s="577"/>
      <c r="CA50" s="577"/>
      <c r="CB50" s="577"/>
      <c r="CC50" s="577"/>
      <c r="CD50" s="577"/>
      <c r="CE50" s="577"/>
      <c r="CF50" s="577"/>
      <c r="CG50" s="577"/>
      <c r="CH50" s="577"/>
      <c r="CI50" s="577"/>
      <c r="CJ50" s="577"/>
      <c r="CK50" s="577"/>
      <c r="CL50" s="577"/>
      <c r="CM50" s="577"/>
      <c r="CN50" s="577"/>
      <c r="CO50" s="577"/>
      <c r="CP50" s="577"/>
      <c r="CQ50" s="577"/>
      <c r="CR50" s="577"/>
      <c r="CS50" s="577"/>
      <c r="CT50" s="577"/>
      <c r="CU50" s="577"/>
      <c r="CV50" s="577"/>
      <c r="CW50" s="577"/>
      <c r="CX50" s="577"/>
      <c r="CY50" s="577"/>
      <c r="CZ50" s="577"/>
      <c r="DA50" s="577"/>
      <c r="DB50" s="577"/>
      <c r="DC50" s="577"/>
      <c r="DD50" s="577"/>
      <c r="DE50" s="577"/>
      <c r="DF50" s="577"/>
      <c r="DG50" s="577"/>
      <c r="DH50" s="577"/>
      <c r="DI50" s="577"/>
      <c r="DJ50" s="577"/>
      <c r="DK50" s="577"/>
      <c r="DL50" s="577"/>
      <c r="DM50" s="577"/>
      <c r="DN50" s="577"/>
      <c r="DO50" s="577"/>
      <c r="DP50" s="577"/>
      <c r="DQ50" s="577"/>
      <c r="DR50" s="577"/>
      <c r="DS50" s="577"/>
      <c r="DT50" s="577"/>
      <c r="DU50" s="577"/>
      <c r="DV50" s="577"/>
      <c r="DW50" s="577"/>
      <c r="DX50" s="577"/>
      <c r="DY50" s="577"/>
      <c r="DZ50" s="577"/>
      <c r="EA50" s="577"/>
      <c r="EB50" s="577"/>
      <c r="EC50" s="577"/>
      <c r="ED50" s="577"/>
      <c r="EE50" s="577"/>
      <c r="EF50" s="577"/>
      <c r="EG50" s="577"/>
      <c r="EH50" s="577"/>
      <c r="EI50" s="577"/>
      <c r="EJ50" s="577"/>
      <c r="EK50" s="577"/>
      <c r="EL50" s="577"/>
      <c r="EM50" s="577"/>
      <c r="EN50" s="577"/>
      <c r="EO50" s="577"/>
      <c r="EP50" s="577"/>
      <c r="EQ50" s="577"/>
      <c r="ER50" s="577"/>
      <c r="ES50" s="577"/>
      <c r="ET50" s="577"/>
      <c r="EU50" s="577"/>
      <c r="EV50" s="577"/>
      <c r="EW50" s="577"/>
      <c r="EX50" s="577"/>
      <c r="EY50" s="577"/>
      <c r="EZ50" s="577"/>
      <c r="FA50" s="577"/>
      <c r="FB50" s="577"/>
      <c r="FC50" s="577"/>
      <c r="FD50" s="577"/>
      <c r="FE50" s="577"/>
      <c r="FF50" s="577"/>
      <c r="FG50" s="577"/>
      <c r="FH50" s="577"/>
      <c r="FI50" s="577"/>
      <c r="FJ50" s="577"/>
      <c r="FK50" s="577"/>
      <c r="FL50" s="577"/>
      <c r="FM50" s="577"/>
      <c r="FN50" s="577"/>
      <c r="FO50" s="577"/>
      <c r="FP50" s="577"/>
      <c r="FQ50" s="577"/>
      <c r="FR50" s="577"/>
      <c r="FS50" s="577"/>
      <c r="FT50" s="577"/>
      <c r="FU50" s="577"/>
      <c r="FV50" s="577"/>
      <c r="FW50" s="577"/>
      <c r="FX50" s="577"/>
      <c r="FY50" s="577"/>
      <c r="FZ50" s="577"/>
      <c r="GA50" s="577"/>
      <c r="GB50" s="577"/>
      <c r="GC50" s="577"/>
      <c r="GD50" s="577"/>
      <c r="GE50" s="577"/>
      <c r="GF50" s="577"/>
      <c r="GG50" s="577"/>
      <c r="GH50" s="577"/>
      <c r="GI50" s="577"/>
      <c r="GJ50" s="577"/>
      <c r="GK50" s="577"/>
      <c r="GL50" s="577"/>
      <c r="GM50" s="577"/>
      <c r="GN50" s="577"/>
      <c r="GO50" s="577"/>
      <c r="GP50" s="577"/>
      <c r="GQ50" s="577"/>
      <c r="GR50" s="577"/>
      <c r="GS50" s="577"/>
      <c r="GT50" s="577"/>
      <c r="GU50" s="577"/>
      <c r="GV50" s="577"/>
      <c r="GW50" s="577"/>
      <c r="GX50" s="577"/>
      <c r="GY50" s="577"/>
      <c r="GZ50" s="577"/>
      <c r="HA50" s="577"/>
      <c r="HB50" s="577"/>
      <c r="HC50" s="577"/>
      <c r="HD50" s="577"/>
      <c r="HE50" s="577"/>
      <c r="HF50" s="577"/>
      <c r="HG50" s="577"/>
      <c r="HH50" s="577"/>
      <c r="HI50" s="577"/>
      <c r="HJ50" s="577"/>
      <c r="HK50" s="577"/>
      <c r="HL50" s="577"/>
      <c r="HM50" s="577"/>
      <c r="HN50" s="577"/>
      <c r="HO50" s="577"/>
      <c r="HP50" s="577"/>
      <c r="HQ50" s="577"/>
      <c r="HR50" s="577"/>
      <c r="HS50" s="577"/>
      <c r="HT50" s="577"/>
      <c r="HU50" s="577"/>
      <c r="HV50" s="577"/>
      <c r="HW50" s="577"/>
      <c r="HX50" s="577"/>
      <c r="HY50" s="577"/>
      <c r="HZ50" s="577"/>
      <c r="IA50" s="577"/>
      <c r="IB50" s="577"/>
      <c r="IC50" s="577"/>
      <c r="ID50" s="577"/>
      <c r="IE50" s="577"/>
      <c r="IF50" s="577"/>
      <c r="IG50" s="577"/>
      <c r="IH50" s="577"/>
      <c r="II50" s="577"/>
      <c r="IJ50" s="577"/>
      <c r="IK50" s="577"/>
      <c r="IL50" s="577"/>
      <c r="IM50" s="577"/>
      <c r="IN50" s="577"/>
      <c r="IO50" s="577"/>
      <c r="IP50" s="577"/>
      <c r="IQ50" s="577"/>
      <c r="IR50" s="577"/>
      <c r="IS50" s="577"/>
      <c r="IT50" s="577"/>
      <c r="IU50" s="577"/>
      <c r="IV50" s="577"/>
    </row>
    <row r="51" spans="1:256" s="573" customFormat="1">
      <c r="A51" s="576" t="s">
        <v>121</v>
      </c>
      <c r="B51" s="577"/>
      <c r="C51" s="577"/>
      <c r="D51" s="577"/>
      <c r="E51" s="577"/>
      <c r="F51" s="577"/>
      <c r="G51" s="577"/>
      <c r="H51" s="577"/>
      <c r="I51" s="577"/>
      <c r="J51" s="577"/>
      <c r="K51" s="577"/>
      <c r="L51" s="577"/>
      <c r="M51" s="578">
        <v>19073.892199999998</v>
      </c>
      <c r="N51" s="577"/>
      <c r="O51" s="579">
        <v>1183.6682000000001</v>
      </c>
      <c r="P51" s="579">
        <v>5716.1459999999997</v>
      </c>
      <c r="Q51" s="579">
        <v>12174.078</v>
      </c>
      <c r="R51" s="597">
        <v>41159.197999999997</v>
      </c>
      <c r="S51" s="580">
        <f t="shared" si="9"/>
        <v>2.2684611635295532E-2</v>
      </c>
      <c r="T51" s="559">
        <f t="shared" si="4"/>
        <v>19073.892199999998</v>
      </c>
      <c r="U51" s="559">
        <f t="shared" si="5"/>
        <v>0</v>
      </c>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c r="BR51" s="577"/>
      <c r="BS51" s="577"/>
      <c r="BT51" s="577"/>
      <c r="BU51" s="577"/>
      <c r="BV51" s="577"/>
      <c r="BW51" s="577"/>
      <c r="BX51" s="577"/>
      <c r="BY51" s="577"/>
      <c r="BZ51" s="577"/>
      <c r="CA51" s="577"/>
      <c r="CB51" s="577"/>
      <c r="CC51" s="577"/>
      <c r="CD51" s="577"/>
      <c r="CE51" s="577"/>
      <c r="CF51" s="577"/>
      <c r="CG51" s="577"/>
      <c r="CH51" s="577"/>
      <c r="CI51" s="577"/>
      <c r="CJ51" s="577"/>
      <c r="CK51" s="577"/>
      <c r="CL51" s="577"/>
      <c r="CM51" s="577"/>
      <c r="CN51" s="577"/>
      <c r="CO51" s="577"/>
      <c r="CP51" s="577"/>
      <c r="CQ51" s="577"/>
      <c r="CR51" s="577"/>
      <c r="CS51" s="577"/>
      <c r="CT51" s="577"/>
      <c r="CU51" s="577"/>
      <c r="CV51" s="577"/>
      <c r="CW51" s="577"/>
      <c r="CX51" s="577"/>
      <c r="CY51" s="577"/>
      <c r="CZ51" s="577"/>
      <c r="DA51" s="577"/>
      <c r="DB51" s="577"/>
      <c r="DC51" s="577"/>
      <c r="DD51" s="577"/>
      <c r="DE51" s="577"/>
      <c r="DF51" s="577"/>
      <c r="DG51" s="577"/>
      <c r="DH51" s="577"/>
      <c r="DI51" s="577"/>
      <c r="DJ51" s="577"/>
      <c r="DK51" s="577"/>
      <c r="DL51" s="577"/>
      <c r="DM51" s="577"/>
      <c r="DN51" s="577"/>
      <c r="DO51" s="577"/>
      <c r="DP51" s="577"/>
      <c r="DQ51" s="577"/>
      <c r="DR51" s="577"/>
      <c r="DS51" s="577"/>
      <c r="DT51" s="577"/>
      <c r="DU51" s="577"/>
      <c r="DV51" s="577"/>
      <c r="DW51" s="577"/>
      <c r="DX51" s="577"/>
      <c r="DY51" s="577"/>
      <c r="DZ51" s="577"/>
      <c r="EA51" s="577"/>
      <c r="EB51" s="577"/>
      <c r="EC51" s="577"/>
      <c r="ED51" s="577"/>
      <c r="EE51" s="577"/>
      <c r="EF51" s="577"/>
      <c r="EG51" s="577"/>
      <c r="EH51" s="577"/>
      <c r="EI51" s="577"/>
      <c r="EJ51" s="577"/>
      <c r="EK51" s="577"/>
      <c r="EL51" s="577"/>
      <c r="EM51" s="577"/>
      <c r="EN51" s="577"/>
      <c r="EO51" s="577"/>
      <c r="EP51" s="577"/>
      <c r="EQ51" s="577"/>
      <c r="ER51" s="577"/>
      <c r="ES51" s="577"/>
      <c r="ET51" s="577"/>
      <c r="EU51" s="577"/>
      <c r="EV51" s="577"/>
      <c r="EW51" s="577"/>
      <c r="EX51" s="577"/>
      <c r="EY51" s="577"/>
      <c r="EZ51" s="577"/>
      <c r="FA51" s="577"/>
      <c r="FB51" s="577"/>
      <c r="FC51" s="577"/>
      <c r="FD51" s="577"/>
      <c r="FE51" s="577"/>
      <c r="FF51" s="577"/>
      <c r="FG51" s="577"/>
      <c r="FH51" s="577"/>
      <c r="FI51" s="577"/>
      <c r="FJ51" s="577"/>
      <c r="FK51" s="577"/>
      <c r="FL51" s="577"/>
      <c r="FM51" s="577"/>
      <c r="FN51" s="577"/>
      <c r="FO51" s="577"/>
      <c r="FP51" s="577"/>
      <c r="FQ51" s="577"/>
      <c r="FR51" s="577"/>
      <c r="FS51" s="577"/>
      <c r="FT51" s="577"/>
      <c r="FU51" s="577"/>
      <c r="FV51" s="577"/>
      <c r="FW51" s="577"/>
      <c r="FX51" s="577"/>
      <c r="FY51" s="577"/>
      <c r="FZ51" s="577"/>
      <c r="GA51" s="577"/>
      <c r="GB51" s="577"/>
      <c r="GC51" s="577"/>
      <c r="GD51" s="577"/>
      <c r="GE51" s="577"/>
      <c r="GF51" s="577"/>
      <c r="GG51" s="577"/>
      <c r="GH51" s="577"/>
      <c r="GI51" s="577"/>
      <c r="GJ51" s="577"/>
      <c r="GK51" s="577"/>
      <c r="GL51" s="577"/>
      <c r="GM51" s="577"/>
      <c r="GN51" s="577"/>
      <c r="GO51" s="577"/>
      <c r="GP51" s="577"/>
      <c r="GQ51" s="577"/>
      <c r="GR51" s="577"/>
      <c r="GS51" s="577"/>
      <c r="GT51" s="577"/>
      <c r="GU51" s="577"/>
      <c r="GV51" s="577"/>
      <c r="GW51" s="577"/>
      <c r="GX51" s="577"/>
      <c r="GY51" s="577"/>
      <c r="GZ51" s="577"/>
      <c r="HA51" s="577"/>
      <c r="HB51" s="577"/>
      <c r="HC51" s="577"/>
      <c r="HD51" s="577"/>
      <c r="HE51" s="577"/>
      <c r="HF51" s="577"/>
      <c r="HG51" s="577"/>
      <c r="HH51" s="577"/>
      <c r="HI51" s="577"/>
      <c r="HJ51" s="577"/>
      <c r="HK51" s="577"/>
      <c r="HL51" s="577"/>
      <c r="HM51" s="577"/>
      <c r="HN51" s="577"/>
      <c r="HO51" s="577"/>
      <c r="HP51" s="577"/>
      <c r="HQ51" s="577"/>
      <c r="HR51" s="577"/>
      <c r="HS51" s="577"/>
      <c r="HT51" s="577"/>
      <c r="HU51" s="577"/>
      <c r="HV51" s="577"/>
      <c r="HW51" s="577"/>
      <c r="HX51" s="577"/>
      <c r="HY51" s="577"/>
      <c r="HZ51" s="577"/>
      <c r="IA51" s="577"/>
      <c r="IB51" s="577"/>
      <c r="IC51" s="577"/>
      <c r="ID51" s="577"/>
      <c r="IE51" s="577"/>
      <c r="IF51" s="577"/>
      <c r="IG51" s="577"/>
      <c r="IH51" s="577"/>
      <c r="II51" s="577"/>
      <c r="IJ51" s="577"/>
      <c r="IK51" s="577"/>
      <c r="IL51" s="577"/>
      <c r="IM51" s="577"/>
      <c r="IN51" s="577"/>
      <c r="IO51" s="577"/>
      <c r="IP51" s="577"/>
      <c r="IQ51" s="577"/>
      <c r="IR51" s="577"/>
      <c r="IS51" s="577"/>
      <c r="IT51" s="577"/>
      <c r="IU51" s="577"/>
      <c r="IV51" s="577"/>
    </row>
    <row r="52" spans="1:256" s="573" customFormat="1">
      <c r="A52" s="576" t="s">
        <v>112</v>
      </c>
      <c r="B52" s="577"/>
      <c r="C52" s="577"/>
      <c r="D52" s="577"/>
      <c r="E52" s="577"/>
      <c r="F52" s="577"/>
      <c r="G52" s="577"/>
      <c r="H52" s="577"/>
      <c r="I52" s="577"/>
      <c r="J52" s="577"/>
      <c r="K52" s="577"/>
      <c r="L52" s="577"/>
      <c r="M52" s="578">
        <v>33028.223199999993</v>
      </c>
      <c r="N52" s="577"/>
      <c r="O52" s="579">
        <v>1794.2705000000003</v>
      </c>
      <c r="P52" s="579">
        <v>8238.444200000009</v>
      </c>
      <c r="Q52" s="579">
        <v>22995.508499999982</v>
      </c>
      <c r="R52" s="597">
        <v>65653.546100000007</v>
      </c>
      <c r="S52" s="580">
        <f t="shared" si="9"/>
        <v>3.6184504755376226E-2</v>
      </c>
      <c r="T52" s="559">
        <f t="shared" si="4"/>
        <v>33028.223199999993</v>
      </c>
      <c r="U52" s="559">
        <f t="shared" si="5"/>
        <v>0</v>
      </c>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c r="BR52" s="577"/>
      <c r="BS52" s="577"/>
      <c r="BT52" s="577"/>
      <c r="BU52" s="577"/>
      <c r="BV52" s="577"/>
      <c r="BW52" s="577"/>
      <c r="BX52" s="577"/>
      <c r="BY52" s="577"/>
      <c r="BZ52" s="577"/>
      <c r="CA52" s="577"/>
      <c r="CB52" s="577"/>
      <c r="CC52" s="577"/>
      <c r="CD52" s="577"/>
      <c r="CE52" s="577"/>
      <c r="CF52" s="577"/>
      <c r="CG52" s="577"/>
      <c r="CH52" s="577"/>
      <c r="CI52" s="577"/>
      <c r="CJ52" s="577"/>
      <c r="CK52" s="577"/>
      <c r="CL52" s="577"/>
      <c r="CM52" s="577"/>
      <c r="CN52" s="577"/>
      <c r="CO52" s="577"/>
      <c r="CP52" s="577"/>
      <c r="CQ52" s="577"/>
      <c r="CR52" s="577"/>
      <c r="CS52" s="577"/>
      <c r="CT52" s="577"/>
      <c r="CU52" s="577"/>
      <c r="CV52" s="577"/>
      <c r="CW52" s="577"/>
      <c r="CX52" s="577"/>
      <c r="CY52" s="577"/>
      <c r="CZ52" s="577"/>
      <c r="DA52" s="577"/>
      <c r="DB52" s="577"/>
      <c r="DC52" s="577"/>
      <c r="DD52" s="577"/>
      <c r="DE52" s="577"/>
      <c r="DF52" s="577"/>
      <c r="DG52" s="577"/>
      <c r="DH52" s="577"/>
      <c r="DI52" s="577"/>
      <c r="DJ52" s="577"/>
      <c r="DK52" s="577"/>
      <c r="DL52" s="577"/>
      <c r="DM52" s="577"/>
      <c r="DN52" s="577"/>
      <c r="DO52" s="577"/>
      <c r="DP52" s="577"/>
      <c r="DQ52" s="577"/>
      <c r="DR52" s="577"/>
      <c r="DS52" s="577"/>
      <c r="DT52" s="577"/>
      <c r="DU52" s="577"/>
      <c r="DV52" s="577"/>
      <c r="DW52" s="577"/>
      <c r="DX52" s="577"/>
      <c r="DY52" s="577"/>
      <c r="DZ52" s="577"/>
      <c r="EA52" s="577"/>
      <c r="EB52" s="577"/>
      <c r="EC52" s="577"/>
      <c r="ED52" s="577"/>
      <c r="EE52" s="577"/>
      <c r="EF52" s="577"/>
      <c r="EG52" s="577"/>
      <c r="EH52" s="577"/>
      <c r="EI52" s="577"/>
      <c r="EJ52" s="577"/>
      <c r="EK52" s="577"/>
      <c r="EL52" s="577"/>
      <c r="EM52" s="577"/>
      <c r="EN52" s="577"/>
      <c r="EO52" s="577"/>
      <c r="EP52" s="577"/>
      <c r="EQ52" s="577"/>
      <c r="ER52" s="577"/>
      <c r="ES52" s="577"/>
      <c r="ET52" s="577"/>
      <c r="EU52" s="577"/>
      <c r="EV52" s="577"/>
      <c r="EW52" s="577"/>
      <c r="EX52" s="577"/>
      <c r="EY52" s="577"/>
      <c r="EZ52" s="577"/>
      <c r="FA52" s="577"/>
      <c r="FB52" s="577"/>
      <c r="FC52" s="577"/>
      <c r="FD52" s="577"/>
      <c r="FE52" s="577"/>
      <c r="FF52" s="577"/>
      <c r="FG52" s="577"/>
      <c r="FH52" s="577"/>
      <c r="FI52" s="577"/>
      <c r="FJ52" s="577"/>
      <c r="FK52" s="577"/>
      <c r="FL52" s="577"/>
      <c r="FM52" s="577"/>
      <c r="FN52" s="577"/>
      <c r="FO52" s="577"/>
      <c r="FP52" s="577"/>
      <c r="FQ52" s="577"/>
      <c r="FR52" s="577"/>
      <c r="FS52" s="577"/>
      <c r="FT52" s="577"/>
      <c r="FU52" s="577"/>
      <c r="FV52" s="577"/>
      <c r="FW52" s="577"/>
      <c r="FX52" s="577"/>
      <c r="FY52" s="577"/>
      <c r="FZ52" s="577"/>
      <c r="GA52" s="577"/>
      <c r="GB52" s="577"/>
      <c r="GC52" s="577"/>
      <c r="GD52" s="577"/>
      <c r="GE52" s="577"/>
      <c r="GF52" s="577"/>
      <c r="GG52" s="577"/>
      <c r="GH52" s="577"/>
      <c r="GI52" s="577"/>
      <c r="GJ52" s="577"/>
      <c r="GK52" s="577"/>
      <c r="GL52" s="577"/>
      <c r="GM52" s="577"/>
      <c r="GN52" s="577"/>
      <c r="GO52" s="577"/>
      <c r="GP52" s="577"/>
      <c r="GQ52" s="577"/>
      <c r="GR52" s="577"/>
      <c r="GS52" s="577"/>
      <c r="GT52" s="577"/>
      <c r="GU52" s="577"/>
      <c r="GV52" s="577"/>
      <c r="GW52" s="577"/>
      <c r="GX52" s="577"/>
      <c r="GY52" s="577"/>
      <c r="GZ52" s="577"/>
      <c r="HA52" s="577"/>
      <c r="HB52" s="577"/>
      <c r="HC52" s="577"/>
      <c r="HD52" s="577"/>
      <c r="HE52" s="577"/>
      <c r="HF52" s="577"/>
      <c r="HG52" s="577"/>
      <c r="HH52" s="577"/>
      <c r="HI52" s="577"/>
      <c r="HJ52" s="577"/>
      <c r="HK52" s="577"/>
      <c r="HL52" s="577"/>
      <c r="HM52" s="577"/>
      <c r="HN52" s="577"/>
      <c r="HO52" s="577"/>
      <c r="HP52" s="577"/>
      <c r="HQ52" s="577"/>
      <c r="HR52" s="577"/>
      <c r="HS52" s="577"/>
      <c r="HT52" s="577"/>
      <c r="HU52" s="577"/>
      <c r="HV52" s="577"/>
      <c r="HW52" s="577"/>
      <c r="HX52" s="577"/>
      <c r="HY52" s="577"/>
      <c r="HZ52" s="577"/>
      <c r="IA52" s="577"/>
      <c r="IB52" s="577"/>
      <c r="IC52" s="577"/>
      <c r="ID52" s="577"/>
      <c r="IE52" s="577"/>
      <c r="IF52" s="577"/>
      <c r="IG52" s="577"/>
      <c r="IH52" s="577"/>
      <c r="II52" s="577"/>
      <c r="IJ52" s="577"/>
      <c r="IK52" s="577"/>
      <c r="IL52" s="577"/>
      <c r="IM52" s="577"/>
      <c r="IN52" s="577"/>
      <c r="IO52" s="577"/>
      <c r="IP52" s="577"/>
      <c r="IQ52" s="577"/>
      <c r="IR52" s="577"/>
      <c r="IS52" s="577"/>
      <c r="IT52" s="577"/>
      <c r="IU52" s="577"/>
      <c r="IV52" s="577"/>
    </row>
    <row r="53" spans="1:256" s="573" customFormat="1">
      <c r="A53" s="576" t="s">
        <v>123</v>
      </c>
      <c r="B53" s="577"/>
      <c r="C53" s="577"/>
      <c r="D53" s="577"/>
      <c r="E53" s="577"/>
      <c r="F53" s="577"/>
      <c r="G53" s="577"/>
      <c r="H53" s="577"/>
      <c r="I53" s="577"/>
      <c r="J53" s="577"/>
      <c r="K53" s="577"/>
      <c r="L53" s="577"/>
      <c r="M53" s="578">
        <v>12108.259299999998</v>
      </c>
      <c r="N53" s="577"/>
      <c r="O53" s="579">
        <v>748.20500000000015</v>
      </c>
      <c r="P53" s="579">
        <v>3722.5884999999998</v>
      </c>
      <c r="Q53" s="579">
        <v>7637.4657999999981</v>
      </c>
      <c r="R53" s="597">
        <v>26287.281299999999</v>
      </c>
      <c r="S53" s="580">
        <f t="shared" si="9"/>
        <v>1.4488056041283084E-2</v>
      </c>
      <c r="T53" s="559">
        <f t="shared" si="4"/>
        <v>12108.259299999998</v>
      </c>
      <c r="U53" s="559">
        <f t="shared" si="5"/>
        <v>0</v>
      </c>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c r="BR53" s="577"/>
      <c r="BS53" s="577"/>
      <c r="BT53" s="577"/>
      <c r="BU53" s="577"/>
      <c r="BV53" s="577"/>
      <c r="BW53" s="577"/>
      <c r="BX53" s="577"/>
      <c r="BY53" s="577"/>
      <c r="BZ53" s="577"/>
      <c r="CA53" s="577"/>
      <c r="CB53" s="577"/>
      <c r="CC53" s="577"/>
      <c r="CD53" s="577"/>
      <c r="CE53" s="577"/>
      <c r="CF53" s="577"/>
      <c r="CG53" s="577"/>
      <c r="CH53" s="577"/>
      <c r="CI53" s="577"/>
      <c r="CJ53" s="577"/>
      <c r="CK53" s="577"/>
      <c r="CL53" s="577"/>
      <c r="CM53" s="577"/>
      <c r="CN53" s="577"/>
      <c r="CO53" s="577"/>
      <c r="CP53" s="577"/>
      <c r="CQ53" s="577"/>
      <c r="CR53" s="577"/>
      <c r="CS53" s="577"/>
      <c r="CT53" s="577"/>
      <c r="CU53" s="577"/>
      <c r="CV53" s="577"/>
      <c r="CW53" s="577"/>
      <c r="CX53" s="577"/>
      <c r="CY53" s="577"/>
      <c r="CZ53" s="577"/>
      <c r="DA53" s="577"/>
      <c r="DB53" s="577"/>
      <c r="DC53" s="577"/>
      <c r="DD53" s="577"/>
      <c r="DE53" s="577"/>
      <c r="DF53" s="577"/>
      <c r="DG53" s="577"/>
      <c r="DH53" s="577"/>
      <c r="DI53" s="577"/>
      <c r="DJ53" s="577"/>
      <c r="DK53" s="577"/>
      <c r="DL53" s="577"/>
      <c r="DM53" s="577"/>
      <c r="DN53" s="577"/>
      <c r="DO53" s="577"/>
      <c r="DP53" s="577"/>
      <c r="DQ53" s="577"/>
      <c r="DR53" s="577"/>
      <c r="DS53" s="577"/>
      <c r="DT53" s="577"/>
      <c r="DU53" s="577"/>
      <c r="DV53" s="577"/>
      <c r="DW53" s="577"/>
      <c r="DX53" s="577"/>
      <c r="DY53" s="577"/>
      <c r="DZ53" s="577"/>
      <c r="EA53" s="577"/>
      <c r="EB53" s="577"/>
      <c r="EC53" s="577"/>
      <c r="ED53" s="577"/>
      <c r="EE53" s="577"/>
      <c r="EF53" s="577"/>
      <c r="EG53" s="577"/>
      <c r="EH53" s="577"/>
      <c r="EI53" s="577"/>
      <c r="EJ53" s="577"/>
      <c r="EK53" s="577"/>
      <c r="EL53" s="577"/>
      <c r="EM53" s="577"/>
      <c r="EN53" s="577"/>
      <c r="EO53" s="577"/>
      <c r="EP53" s="577"/>
      <c r="EQ53" s="577"/>
      <c r="ER53" s="577"/>
      <c r="ES53" s="577"/>
      <c r="ET53" s="577"/>
      <c r="EU53" s="577"/>
      <c r="EV53" s="577"/>
      <c r="EW53" s="577"/>
      <c r="EX53" s="577"/>
      <c r="EY53" s="577"/>
      <c r="EZ53" s="577"/>
      <c r="FA53" s="577"/>
      <c r="FB53" s="577"/>
      <c r="FC53" s="577"/>
      <c r="FD53" s="577"/>
      <c r="FE53" s="577"/>
      <c r="FF53" s="577"/>
      <c r="FG53" s="577"/>
      <c r="FH53" s="577"/>
      <c r="FI53" s="577"/>
      <c r="FJ53" s="577"/>
      <c r="FK53" s="577"/>
      <c r="FL53" s="577"/>
      <c r="FM53" s="577"/>
      <c r="FN53" s="577"/>
      <c r="FO53" s="577"/>
      <c r="FP53" s="577"/>
      <c r="FQ53" s="577"/>
      <c r="FR53" s="577"/>
      <c r="FS53" s="577"/>
      <c r="FT53" s="577"/>
      <c r="FU53" s="577"/>
      <c r="FV53" s="577"/>
      <c r="FW53" s="577"/>
      <c r="FX53" s="577"/>
      <c r="FY53" s="577"/>
      <c r="FZ53" s="577"/>
      <c r="GA53" s="577"/>
      <c r="GB53" s="577"/>
      <c r="GC53" s="577"/>
      <c r="GD53" s="577"/>
      <c r="GE53" s="577"/>
      <c r="GF53" s="577"/>
      <c r="GG53" s="577"/>
      <c r="GH53" s="577"/>
      <c r="GI53" s="577"/>
      <c r="GJ53" s="577"/>
      <c r="GK53" s="577"/>
      <c r="GL53" s="577"/>
      <c r="GM53" s="577"/>
      <c r="GN53" s="577"/>
      <c r="GO53" s="577"/>
      <c r="GP53" s="577"/>
      <c r="GQ53" s="577"/>
      <c r="GR53" s="577"/>
      <c r="GS53" s="577"/>
      <c r="GT53" s="577"/>
      <c r="GU53" s="577"/>
      <c r="GV53" s="577"/>
      <c r="GW53" s="577"/>
      <c r="GX53" s="577"/>
      <c r="GY53" s="577"/>
      <c r="GZ53" s="577"/>
      <c r="HA53" s="577"/>
      <c r="HB53" s="577"/>
      <c r="HC53" s="577"/>
      <c r="HD53" s="577"/>
      <c r="HE53" s="577"/>
      <c r="HF53" s="577"/>
      <c r="HG53" s="577"/>
      <c r="HH53" s="577"/>
      <c r="HI53" s="577"/>
      <c r="HJ53" s="577"/>
      <c r="HK53" s="577"/>
      <c r="HL53" s="577"/>
      <c r="HM53" s="577"/>
      <c r="HN53" s="577"/>
      <c r="HO53" s="577"/>
      <c r="HP53" s="577"/>
      <c r="HQ53" s="577"/>
      <c r="HR53" s="577"/>
      <c r="HS53" s="577"/>
      <c r="HT53" s="577"/>
      <c r="HU53" s="577"/>
      <c r="HV53" s="577"/>
      <c r="HW53" s="577"/>
      <c r="HX53" s="577"/>
      <c r="HY53" s="577"/>
      <c r="HZ53" s="577"/>
      <c r="IA53" s="577"/>
      <c r="IB53" s="577"/>
      <c r="IC53" s="577"/>
      <c r="ID53" s="577"/>
      <c r="IE53" s="577"/>
      <c r="IF53" s="577"/>
      <c r="IG53" s="577"/>
      <c r="IH53" s="577"/>
      <c r="II53" s="577"/>
      <c r="IJ53" s="577"/>
      <c r="IK53" s="577"/>
      <c r="IL53" s="577"/>
      <c r="IM53" s="577"/>
      <c r="IN53" s="577"/>
      <c r="IO53" s="577"/>
      <c r="IP53" s="577"/>
      <c r="IQ53" s="577"/>
      <c r="IR53" s="577"/>
      <c r="IS53" s="577"/>
      <c r="IT53" s="577"/>
      <c r="IU53" s="577"/>
      <c r="IV53" s="577"/>
    </row>
    <row r="54" spans="1:256" s="573" customFormat="1">
      <c r="A54" s="576" t="s">
        <v>125</v>
      </c>
      <c r="B54" s="577"/>
      <c r="C54" s="577"/>
      <c r="D54" s="577"/>
      <c r="E54" s="577"/>
      <c r="F54" s="577"/>
      <c r="G54" s="577"/>
      <c r="H54" s="577"/>
      <c r="I54" s="577"/>
      <c r="J54" s="577"/>
      <c r="K54" s="577"/>
      <c r="L54" s="577"/>
      <c r="M54" s="578">
        <v>18895.884000000016</v>
      </c>
      <c r="N54" s="577"/>
      <c r="O54" s="579">
        <v>1092.7433000000001</v>
      </c>
      <c r="P54" s="579">
        <v>2155.9464000000007</v>
      </c>
      <c r="Q54" s="579">
        <v>15647.194300000016</v>
      </c>
      <c r="R54" s="597">
        <v>33042.466500000017</v>
      </c>
      <c r="S54" s="580">
        <f t="shared" si="9"/>
        <v>1.8211130353530291E-2</v>
      </c>
      <c r="T54" s="559">
        <f t="shared" si="4"/>
        <v>18895.884000000016</v>
      </c>
      <c r="U54" s="559">
        <f t="shared" si="5"/>
        <v>0</v>
      </c>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c r="BR54" s="577"/>
      <c r="BS54" s="577"/>
      <c r="BT54" s="577"/>
      <c r="BU54" s="577"/>
      <c r="BV54" s="577"/>
      <c r="BW54" s="577"/>
      <c r="BX54" s="577"/>
      <c r="BY54" s="577"/>
      <c r="BZ54" s="577"/>
      <c r="CA54" s="577"/>
      <c r="CB54" s="577"/>
      <c r="CC54" s="577"/>
      <c r="CD54" s="577"/>
      <c r="CE54" s="577"/>
      <c r="CF54" s="577"/>
      <c r="CG54" s="577"/>
      <c r="CH54" s="577"/>
      <c r="CI54" s="577"/>
      <c r="CJ54" s="577"/>
      <c r="CK54" s="577"/>
      <c r="CL54" s="577"/>
      <c r="CM54" s="577"/>
      <c r="CN54" s="577"/>
      <c r="CO54" s="577"/>
      <c r="CP54" s="577"/>
      <c r="CQ54" s="577"/>
      <c r="CR54" s="577"/>
      <c r="CS54" s="577"/>
      <c r="CT54" s="577"/>
      <c r="CU54" s="577"/>
      <c r="CV54" s="577"/>
      <c r="CW54" s="577"/>
      <c r="CX54" s="577"/>
      <c r="CY54" s="577"/>
      <c r="CZ54" s="577"/>
      <c r="DA54" s="577"/>
      <c r="DB54" s="577"/>
      <c r="DC54" s="577"/>
      <c r="DD54" s="577"/>
      <c r="DE54" s="577"/>
      <c r="DF54" s="577"/>
      <c r="DG54" s="577"/>
      <c r="DH54" s="577"/>
      <c r="DI54" s="577"/>
      <c r="DJ54" s="577"/>
      <c r="DK54" s="577"/>
      <c r="DL54" s="577"/>
      <c r="DM54" s="577"/>
      <c r="DN54" s="577"/>
      <c r="DO54" s="577"/>
      <c r="DP54" s="577"/>
      <c r="DQ54" s="577"/>
      <c r="DR54" s="577"/>
      <c r="DS54" s="577"/>
      <c r="DT54" s="577"/>
      <c r="DU54" s="577"/>
      <c r="DV54" s="577"/>
      <c r="DW54" s="577"/>
      <c r="DX54" s="577"/>
      <c r="DY54" s="577"/>
      <c r="DZ54" s="577"/>
      <c r="EA54" s="577"/>
      <c r="EB54" s="577"/>
      <c r="EC54" s="577"/>
      <c r="ED54" s="577"/>
      <c r="EE54" s="577"/>
      <c r="EF54" s="577"/>
      <c r="EG54" s="577"/>
      <c r="EH54" s="577"/>
      <c r="EI54" s="577"/>
      <c r="EJ54" s="577"/>
      <c r="EK54" s="577"/>
      <c r="EL54" s="577"/>
      <c r="EM54" s="577"/>
      <c r="EN54" s="577"/>
      <c r="EO54" s="577"/>
      <c r="EP54" s="577"/>
      <c r="EQ54" s="577"/>
      <c r="ER54" s="577"/>
      <c r="ES54" s="577"/>
      <c r="ET54" s="577"/>
      <c r="EU54" s="577"/>
      <c r="EV54" s="577"/>
      <c r="EW54" s="577"/>
      <c r="EX54" s="577"/>
      <c r="EY54" s="577"/>
      <c r="EZ54" s="577"/>
      <c r="FA54" s="577"/>
      <c r="FB54" s="577"/>
      <c r="FC54" s="577"/>
      <c r="FD54" s="577"/>
      <c r="FE54" s="577"/>
      <c r="FF54" s="577"/>
      <c r="FG54" s="577"/>
      <c r="FH54" s="577"/>
      <c r="FI54" s="577"/>
      <c r="FJ54" s="577"/>
      <c r="FK54" s="577"/>
      <c r="FL54" s="577"/>
      <c r="FM54" s="577"/>
      <c r="FN54" s="577"/>
      <c r="FO54" s="577"/>
      <c r="FP54" s="577"/>
      <c r="FQ54" s="577"/>
      <c r="FR54" s="577"/>
      <c r="FS54" s="577"/>
      <c r="FT54" s="577"/>
      <c r="FU54" s="577"/>
      <c r="FV54" s="577"/>
      <c r="FW54" s="577"/>
      <c r="FX54" s="577"/>
      <c r="FY54" s="577"/>
      <c r="FZ54" s="577"/>
      <c r="GA54" s="577"/>
      <c r="GB54" s="577"/>
      <c r="GC54" s="577"/>
      <c r="GD54" s="577"/>
      <c r="GE54" s="577"/>
      <c r="GF54" s="577"/>
      <c r="GG54" s="577"/>
      <c r="GH54" s="577"/>
      <c r="GI54" s="577"/>
      <c r="GJ54" s="577"/>
      <c r="GK54" s="577"/>
      <c r="GL54" s="577"/>
      <c r="GM54" s="577"/>
      <c r="GN54" s="577"/>
      <c r="GO54" s="577"/>
      <c r="GP54" s="577"/>
      <c r="GQ54" s="577"/>
      <c r="GR54" s="577"/>
      <c r="GS54" s="577"/>
      <c r="GT54" s="577"/>
      <c r="GU54" s="577"/>
      <c r="GV54" s="577"/>
      <c r="GW54" s="577"/>
      <c r="GX54" s="577"/>
      <c r="GY54" s="577"/>
      <c r="GZ54" s="577"/>
      <c r="HA54" s="577"/>
      <c r="HB54" s="577"/>
      <c r="HC54" s="577"/>
      <c r="HD54" s="577"/>
      <c r="HE54" s="577"/>
      <c r="HF54" s="577"/>
      <c r="HG54" s="577"/>
      <c r="HH54" s="577"/>
      <c r="HI54" s="577"/>
      <c r="HJ54" s="577"/>
      <c r="HK54" s="577"/>
      <c r="HL54" s="577"/>
      <c r="HM54" s="577"/>
      <c r="HN54" s="577"/>
      <c r="HO54" s="577"/>
      <c r="HP54" s="577"/>
      <c r="HQ54" s="577"/>
      <c r="HR54" s="577"/>
      <c r="HS54" s="577"/>
      <c r="HT54" s="577"/>
      <c r="HU54" s="577"/>
      <c r="HV54" s="577"/>
      <c r="HW54" s="577"/>
      <c r="HX54" s="577"/>
      <c r="HY54" s="577"/>
      <c r="HZ54" s="577"/>
      <c r="IA54" s="577"/>
      <c r="IB54" s="577"/>
      <c r="IC54" s="577"/>
      <c r="ID54" s="577"/>
      <c r="IE54" s="577"/>
      <c r="IF54" s="577"/>
      <c r="IG54" s="577"/>
      <c r="IH54" s="577"/>
      <c r="II54" s="577"/>
      <c r="IJ54" s="577"/>
      <c r="IK54" s="577"/>
      <c r="IL54" s="577"/>
      <c r="IM54" s="577"/>
      <c r="IN54" s="577"/>
      <c r="IO54" s="577"/>
      <c r="IP54" s="577"/>
      <c r="IQ54" s="577"/>
      <c r="IR54" s="577"/>
      <c r="IS54" s="577"/>
      <c r="IT54" s="577"/>
      <c r="IU54" s="577"/>
      <c r="IV54" s="577"/>
    </row>
    <row r="55" spans="1:256" s="573" customFormat="1">
      <c r="A55" s="576" t="s">
        <v>120</v>
      </c>
      <c r="B55" s="577"/>
      <c r="C55" s="577"/>
      <c r="D55" s="577"/>
      <c r="E55" s="577"/>
      <c r="F55" s="577"/>
      <c r="G55" s="577"/>
      <c r="H55" s="577"/>
      <c r="I55" s="577"/>
      <c r="J55" s="577"/>
      <c r="K55" s="577"/>
      <c r="L55" s="577"/>
      <c r="M55" s="578">
        <v>10093.70129999995</v>
      </c>
      <c r="N55" s="577"/>
      <c r="O55" s="579">
        <v>454.31189999999992</v>
      </c>
      <c r="P55" s="579">
        <v>2141.0904</v>
      </c>
      <c r="Q55" s="579">
        <v>7498.2989999999509</v>
      </c>
      <c r="R55" s="597">
        <v>18464.68919999995</v>
      </c>
      <c r="S55" s="580">
        <f t="shared" si="9"/>
        <v>1.0176687686393564E-2</v>
      </c>
      <c r="T55" s="559">
        <f t="shared" si="4"/>
        <v>10093.70129999995</v>
      </c>
      <c r="U55" s="559">
        <f t="shared" si="5"/>
        <v>0</v>
      </c>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577"/>
      <c r="AS55" s="577"/>
      <c r="AT55" s="577"/>
      <c r="AU55" s="577"/>
      <c r="AV55" s="577"/>
      <c r="AW55" s="577"/>
      <c r="AX55" s="577"/>
      <c r="AY55" s="577"/>
      <c r="AZ55" s="577"/>
      <c r="BA55" s="577"/>
      <c r="BB55" s="577"/>
      <c r="BC55" s="577"/>
      <c r="BD55" s="577"/>
      <c r="BE55" s="577"/>
      <c r="BF55" s="577"/>
      <c r="BG55" s="577"/>
      <c r="BH55" s="577"/>
      <c r="BI55" s="577"/>
      <c r="BJ55" s="577"/>
      <c r="BK55" s="577"/>
      <c r="BL55" s="577"/>
      <c r="BM55" s="577"/>
      <c r="BN55" s="577"/>
      <c r="BO55" s="577"/>
      <c r="BP55" s="577"/>
      <c r="BQ55" s="577"/>
      <c r="BR55" s="577"/>
      <c r="BS55" s="577"/>
      <c r="BT55" s="577"/>
      <c r="BU55" s="577"/>
      <c r="BV55" s="577"/>
      <c r="BW55" s="577"/>
      <c r="BX55" s="577"/>
      <c r="BY55" s="577"/>
      <c r="BZ55" s="577"/>
      <c r="CA55" s="577"/>
      <c r="CB55" s="577"/>
      <c r="CC55" s="577"/>
      <c r="CD55" s="577"/>
      <c r="CE55" s="577"/>
      <c r="CF55" s="577"/>
      <c r="CG55" s="577"/>
      <c r="CH55" s="577"/>
      <c r="CI55" s="577"/>
      <c r="CJ55" s="577"/>
      <c r="CK55" s="577"/>
      <c r="CL55" s="577"/>
      <c r="CM55" s="577"/>
      <c r="CN55" s="577"/>
      <c r="CO55" s="577"/>
      <c r="CP55" s="577"/>
      <c r="CQ55" s="577"/>
      <c r="CR55" s="577"/>
      <c r="CS55" s="577"/>
      <c r="CT55" s="577"/>
      <c r="CU55" s="577"/>
      <c r="CV55" s="577"/>
      <c r="CW55" s="577"/>
      <c r="CX55" s="577"/>
      <c r="CY55" s="577"/>
      <c r="CZ55" s="577"/>
      <c r="DA55" s="577"/>
      <c r="DB55" s="577"/>
      <c r="DC55" s="577"/>
      <c r="DD55" s="577"/>
      <c r="DE55" s="577"/>
      <c r="DF55" s="577"/>
      <c r="DG55" s="577"/>
      <c r="DH55" s="577"/>
      <c r="DI55" s="577"/>
      <c r="DJ55" s="577"/>
      <c r="DK55" s="577"/>
      <c r="DL55" s="577"/>
      <c r="DM55" s="577"/>
      <c r="DN55" s="577"/>
      <c r="DO55" s="577"/>
      <c r="DP55" s="577"/>
      <c r="DQ55" s="577"/>
      <c r="DR55" s="577"/>
      <c r="DS55" s="577"/>
      <c r="DT55" s="577"/>
      <c r="DU55" s="577"/>
      <c r="DV55" s="577"/>
      <c r="DW55" s="577"/>
      <c r="DX55" s="577"/>
      <c r="DY55" s="577"/>
      <c r="DZ55" s="577"/>
      <c r="EA55" s="577"/>
      <c r="EB55" s="577"/>
      <c r="EC55" s="577"/>
      <c r="ED55" s="577"/>
      <c r="EE55" s="577"/>
      <c r="EF55" s="577"/>
      <c r="EG55" s="577"/>
      <c r="EH55" s="577"/>
      <c r="EI55" s="577"/>
      <c r="EJ55" s="577"/>
      <c r="EK55" s="577"/>
      <c r="EL55" s="577"/>
      <c r="EM55" s="577"/>
      <c r="EN55" s="577"/>
      <c r="EO55" s="577"/>
      <c r="EP55" s="577"/>
      <c r="EQ55" s="577"/>
      <c r="ER55" s="577"/>
      <c r="ES55" s="577"/>
      <c r="ET55" s="577"/>
      <c r="EU55" s="577"/>
      <c r="EV55" s="577"/>
      <c r="EW55" s="577"/>
      <c r="EX55" s="577"/>
      <c r="EY55" s="577"/>
      <c r="EZ55" s="577"/>
      <c r="FA55" s="577"/>
      <c r="FB55" s="577"/>
      <c r="FC55" s="577"/>
      <c r="FD55" s="577"/>
      <c r="FE55" s="577"/>
      <c r="FF55" s="577"/>
      <c r="FG55" s="577"/>
      <c r="FH55" s="577"/>
      <c r="FI55" s="577"/>
      <c r="FJ55" s="577"/>
      <c r="FK55" s="577"/>
      <c r="FL55" s="577"/>
      <c r="FM55" s="577"/>
      <c r="FN55" s="577"/>
      <c r="FO55" s="577"/>
      <c r="FP55" s="577"/>
      <c r="FQ55" s="577"/>
      <c r="FR55" s="577"/>
      <c r="FS55" s="577"/>
      <c r="FT55" s="577"/>
      <c r="FU55" s="577"/>
      <c r="FV55" s="577"/>
      <c r="FW55" s="577"/>
      <c r="FX55" s="577"/>
      <c r="FY55" s="577"/>
      <c r="FZ55" s="577"/>
      <c r="GA55" s="577"/>
      <c r="GB55" s="577"/>
      <c r="GC55" s="577"/>
      <c r="GD55" s="577"/>
      <c r="GE55" s="577"/>
      <c r="GF55" s="577"/>
      <c r="GG55" s="577"/>
      <c r="GH55" s="577"/>
      <c r="GI55" s="577"/>
      <c r="GJ55" s="577"/>
      <c r="GK55" s="577"/>
      <c r="GL55" s="577"/>
      <c r="GM55" s="577"/>
      <c r="GN55" s="577"/>
      <c r="GO55" s="577"/>
      <c r="GP55" s="577"/>
      <c r="GQ55" s="577"/>
      <c r="GR55" s="577"/>
      <c r="GS55" s="577"/>
      <c r="GT55" s="577"/>
      <c r="GU55" s="577"/>
      <c r="GV55" s="577"/>
      <c r="GW55" s="577"/>
      <c r="GX55" s="577"/>
      <c r="GY55" s="577"/>
      <c r="GZ55" s="577"/>
      <c r="HA55" s="577"/>
      <c r="HB55" s="577"/>
      <c r="HC55" s="577"/>
      <c r="HD55" s="577"/>
      <c r="HE55" s="577"/>
      <c r="HF55" s="577"/>
      <c r="HG55" s="577"/>
      <c r="HH55" s="577"/>
      <c r="HI55" s="577"/>
      <c r="HJ55" s="577"/>
      <c r="HK55" s="577"/>
      <c r="HL55" s="577"/>
      <c r="HM55" s="577"/>
      <c r="HN55" s="577"/>
      <c r="HO55" s="577"/>
      <c r="HP55" s="577"/>
      <c r="HQ55" s="577"/>
      <c r="HR55" s="577"/>
      <c r="HS55" s="577"/>
      <c r="HT55" s="577"/>
      <c r="HU55" s="577"/>
      <c r="HV55" s="577"/>
      <c r="HW55" s="577"/>
      <c r="HX55" s="577"/>
      <c r="HY55" s="577"/>
      <c r="HZ55" s="577"/>
      <c r="IA55" s="577"/>
      <c r="IB55" s="577"/>
      <c r="IC55" s="577"/>
      <c r="ID55" s="577"/>
      <c r="IE55" s="577"/>
      <c r="IF55" s="577"/>
      <c r="IG55" s="577"/>
      <c r="IH55" s="577"/>
      <c r="II55" s="577"/>
      <c r="IJ55" s="577"/>
      <c r="IK55" s="577"/>
      <c r="IL55" s="577"/>
      <c r="IM55" s="577"/>
      <c r="IN55" s="577"/>
      <c r="IO55" s="577"/>
      <c r="IP55" s="577"/>
      <c r="IQ55" s="577"/>
      <c r="IR55" s="577"/>
      <c r="IS55" s="577"/>
      <c r="IT55" s="577"/>
      <c r="IU55" s="577"/>
      <c r="IV55" s="577"/>
    </row>
    <row r="56" spans="1:256" s="573" customFormat="1">
      <c r="A56" s="576" t="s">
        <v>122</v>
      </c>
      <c r="B56" s="577"/>
      <c r="C56" s="577"/>
      <c r="D56" s="577"/>
      <c r="E56" s="577"/>
      <c r="F56" s="577"/>
      <c r="G56" s="577"/>
      <c r="H56" s="577"/>
      <c r="I56" s="577"/>
      <c r="J56" s="577"/>
      <c r="K56" s="577"/>
      <c r="L56" s="577"/>
      <c r="M56" s="578">
        <v>17276.707599999922</v>
      </c>
      <c r="N56" s="577"/>
      <c r="O56" s="579">
        <v>740.38189999999986</v>
      </c>
      <c r="P56" s="579">
        <v>3055.4615999999996</v>
      </c>
      <c r="Q56" s="579">
        <v>13480.864099999921</v>
      </c>
      <c r="R56" s="597">
        <v>30051.067899999922</v>
      </c>
      <c r="S56" s="580">
        <f t="shared" si="9"/>
        <v>1.6562441390072624E-2</v>
      </c>
      <c r="T56" s="559">
        <f t="shared" si="4"/>
        <v>17276.707599999922</v>
      </c>
      <c r="U56" s="559">
        <f t="shared" si="5"/>
        <v>0</v>
      </c>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c r="BR56" s="577"/>
      <c r="BS56" s="577"/>
      <c r="BT56" s="577"/>
      <c r="BU56" s="577"/>
      <c r="BV56" s="577"/>
      <c r="BW56" s="577"/>
      <c r="BX56" s="577"/>
      <c r="BY56" s="577"/>
      <c r="BZ56" s="577"/>
      <c r="CA56" s="577"/>
      <c r="CB56" s="577"/>
      <c r="CC56" s="577"/>
      <c r="CD56" s="577"/>
      <c r="CE56" s="577"/>
      <c r="CF56" s="577"/>
      <c r="CG56" s="577"/>
      <c r="CH56" s="577"/>
      <c r="CI56" s="577"/>
      <c r="CJ56" s="577"/>
      <c r="CK56" s="577"/>
      <c r="CL56" s="577"/>
      <c r="CM56" s="577"/>
      <c r="CN56" s="577"/>
      <c r="CO56" s="577"/>
      <c r="CP56" s="577"/>
      <c r="CQ56" s="577"/>
      <c r="CR56" s="577"/>
      <c r="CS56" s="577"/>
      <c r="CT56" s="577"/>
      <c r="CU56" s="577"/>
      <c r="CV56" s="577"/>
      <c r="CW56" s="577"/>
      <c r="CX56" s="577"/>
      <c r="CY56" s="577"/>
      <c r="CZ56" s="577"/>
      <c r="DA56" s="577"/>
      <c r="DB56" s="577"/>
      <c r="DC56" s="577"/>
      <c r="DD56" s="577"/>
      <c r="DE56" s="577"/>
      <c r="DF56" s="577"/>
      <c r="DG56" s="577"/>
      <c r="DH56" s="577"/>
      <c r="DI56" s="577"/>
      <c r="DJ56" s="577"/>
      <c r="DK56" s="577"/>
      <c r="DL56" s="577"/>
      <c r="DM56" s="577"/>
      <c r="DN56" s="577"/>
      <c r="DO56" s="577"/>
      <c r="DP56" s="577"/>
      <c r="DQ56" s="577"/>
      <c r="DR56" s="577"/>
      <c r="DS56" s="577"/>
      <c r="DT56" s="577"/>
      <c r="DU56" s="577"/>
      <c r="DV56" s="577"/>
      <c r="DW56" s="577"/>
      <c r="DX56" s="577"/>
      <c r="DY56" s="577"/>
      <c r="DZ56" s="577"/>
      <c r="EA56" s="577"/>
      <c r="EB56" s="577"/>
      <c r="EC56" s="577"/>
      <c r="ED56" s="577"/>
      <c r="EE56" s="577"/>
      <c r="EF56" s="577"/>
      <c r="EG56" s="577"/>
      <c r="EH56" s="577"/>
      <c r="EI56" s="577"/>
      <c r="EJ56" s="577"/>
      <c r="EK56" s="577"/>
      <c r="EL56" s="577"/>
      <c r="EM56" s="577"/>
      <c r="EN56" s="577"/>
      <c r="EO56" s="577"/>
      <c r="EP56" s="577"/>
      <c r="EQ56" s="577"/>
      <c r="ER56" s="577"/>
      <c r="ES56" s="577"/>
      <c r="ET56" s="577"/>
      <c r="EU56" s="577"/>
      <c r="EV56" s="577"/>
      <c r="EW56" s="577"/>
      <c r="EX56" s="577"/>
      <c r="EY56" s="577"/>
      <c r="EZ56" s="577"/>
      <c r="FA56" s="577"/>
      <c r="FB56" s="577"/>
      <c r="FC56" s="577"/>
      <c r="FD56" s="577"/>
      <c r="FE56" s="577"/>
      <c r="FF56" s="577"/>
      <c r="FG56" s="577"/>
      <c r="FH56" s="577"/>
      <c r="FI56" s="577"/>
      <c r="FJ56" s="577"/>
      <c r="FK56" s="577"/>
      <c r="FL56" s="577"/>
      <c r="FM56" s="577"/>
      <c r="FN56" s="577"/>
      <c r="FO56" s="577"/>
      <c r="FP56" s="577"/>
      <c r="FQ56" s="577"/>
      <c r="FR56" s="577"/>
      <c r="FS56" s="577"/>
      <c r="FT56" s="577"/>
      <c r="FU56" s="577"/>
      <c r="FV56" s="577"/>
      <c r="FW56" s="577"/>
      <c r="FX56" s="577"/>
      <c r="FY56" s="577"/>
      <c r="FZ56" s="577"/>
      <c r="GA56" s="577"/>
      <c r="GB56" s="577"/>
      <c r="GC56" s="577"/>
      <c r="GD56" s="577"/>
      <c r="GE56" s="577"/>
      <c r="GF56" s="577"/>
      <c r="GG56" s="577"/>
      <c r="GH56" s="577"/>
      <c r="GI56" s="577"/>
      <c r="GJ56" s="577"/>
      <c r="GK56" s="577"/>
      <c r="GL56" s="577"/>
      <c r="GM56" s="577"/>
      <c r="GN56" s="577"/>
      <c r="GO56" s="577"/>
      <c r="GP56" s="577"/>
      <c r="GQ56" s="577"/>
      <c r="GR56" s="577"/>
      <c r="GS56" s="577"/>
      <c r="GT56" s="577"/>
      <c r="GU56" s="577"/>
      <c r="GV56" s="577"/>
      <c r="GW56" s="577"/>
      <c r="GX56" s="577"/>
      <c r="GY56" s="577"/>
      <c r="GZ56" s="577"/>
      <c r="HA56" s="577"/>
      <c r="HB56" s="577"/>
      <c r="HC56" s="577"/>
      <c r="HD56" s="577"/>
      <c r="HE56" s="577"/>
      <c r="HF56" s="577"/>
      <c r="HG56" s="577"/>
      <c r="HH56" s="577"/>
      <c r="HI56" s="577"/>
      <c r="HJ56" s="577"/>
      <c r="HK56" s="577"/>
      <c r="HL56" s="577"/>
      <c r="HM56" s="577"/>
      <c r="HN56" s="577"/>
      <c r="HO56" s="577"/>
      <c r="HP56" s="577"/>
      <c r="HQ56" s="577"/>
      <c r="HR56" s="577"/>
      <c r="HS56" s="577"/>
      <c r="HT56" s="577"/>
      <c r="HU56" s="577"/>
      <c r="HV56" s="577"/>
      <c r="HW56" s="577"/>
      <c r="HX56" s="577"/>
      <c r="HY56" s="577"/>
      <c r="HZ56" s="577"/>
      <c r="IA56" s="577"/>
      <c r="IB56" s="577"/>
      <c r="IC56" s="577"/>
      <c r="ID56" s="577"/>
      <c r="IE56" s="577"/>
      <c r="IF56" s="577"/>
      <c r="IG56" s="577"/>
      <c r="IH56" s="577"/>
      <c r="II56" s="577"/>
      <c r="IJ56" s="577"/>
      <c r="IK56" s="577"/>
      <c r="IL56" s="577"/>
      <c r="IM56" s="577"/>
      <c r="IN56" s="577"/>
      <c r="IO56" s="577"/>
      <c r="IP56" s="577"/>
      <c r="IQ56" s="577"/>
      <c r="IR56" s="577"/>
      <c r="IS56" s="577"/>
      <c r="IT56" s="577"/>
      <c r="IU56" s="577"/>
      <c r="IV56" s="577"/>
    </row>
    <row r="57" spans="1:256" s="558" customFormat="1">
      <c r="A57" s="567" t="s">
        <v>10</v>
      </c>
      <c r="B57" s="581"/>
      <c r="C57" s="581"/>
      <c r="D57" s="582"/>
      <c r="E57" s="581"/>
      <c r="F57" s="581"/>
      <c r="G57" s="581"/>
      <c r="H57" s="581"/>
      <c r="I57" s="581"/>
      <c r="J57" s="581"/>
      <c r="K57" s="581"/>
      <c r="L57" s="581"/>
      <c r="M57" s="568">
        <v>132552.5835999999</v>
      </c>
      <c r="N57" s="570"/>
      <c r="O57" s="583">
        <f>SUM(O49:O56)</f>
        <v>6607.6489000000001</v>
      </c>
      <c r="P57" s="583">
        <f>SUM(P49:P56)</f>
        <v>27897.048300000006</v>
      </c>
      <c r="Q57" s="583">
        <f>SUM(Q49:Q56)</f>
        <v>98047.886399999872</v>
      </c>
      <c r="R57" s="598">
        <f>SUM(R49:R56)</f>
        <v>247815.52029999986</v>
      </c>
      <c r="S57" s="584">
        <f>SUM(S49:S56)</f>
        <v>0.13658183609904628</v>
      </c>
    </row>
    <row r="58" spans="1:256" s="558" customFormat="1">
      <c r="A58" s="574"/>
      <c r="B58" s="575"/>
      <c r="C58" s="575"/>
      <c r="D58" s="563"/>
      <c r="E58" s="575"/>
      <c r="F58" s="575"/>
      <c r="G58" s="575"/>
      <c r="H58" s="575"/>
      <c r="I58" s="575"/>
      <c r="J58" s="575"/>
      <c r="K58" s="575"/>
      <c r="L58" s="575"/>
      <c r="M58" s="575"/>
      <c r="R58" s="594"/>
    </row>
    <row r="59" spans="1:256" s="558" customFormat="1">
      <c r="A59" s="585" t="s">
        <v>132</v>
      </c>
      <c r="B59" s="586"/>
      <c r="C59" s="586"/>
      <c r="D59" s="587"/>
      <c r="E59" s="586"/>
      <c r="F59" s="586"/>
      <c r="G59" s="586"/>
      <c r="H59" s="586"/>
      <c r="I59" s="586"/>
      <c r="J59" s="586"/>
      <c r="K59" s="586"/>
      <c r="L59" s="586"/>
      <c r="M59" s="588">
        <f>SUM(M46,M57)</f>
        <v>1019182.5835999999</v>
      </c>
      <c r="N59" s="589"/>
      <c r="O59" s="588">
        <f>SUM(O46,O57)</f>
        <v>50333.6489</v>
      </c>
      <c r="P59" s="588">
        <f>SUM(P46,P57)</f>
        <v>171346.04829999999</v>
      </c>
      <c r="Q59" s="588">
        <f>SUM(Q46,Q57)</f>
        <v>797035.88639999984</v>
      </c>
      <c r="R59" s="599">
        <f>SUM(R46,R57)</f>
        <v>1814410.5203</v>
      </c>
      <c r="S59" s="590">
        <f>SUM(S46,S57)</f>
        <v>0.99999999999999978</v>
      </c>
    </row>
    <row r="60" spans="1:256" s="558" customFormat="1">
      <c r="A60" s="574"/>
      <c r="B60" s="575"/>
      <c r="C60" s="575"/>
      <c r="D60" s="563"/>
      <c r="E60" s="575"/>
      <c r="F60" s="575"/>
      <c r="G60" s="575"/>
      <c r="H60" s="575"/>
      <c r="I60" s="575"/>
      <c r="J60" s="575"/>
      <c r="K60" s="575"/>
      <c r="L60" s="575"/>
      <c r="M60" s="575"/>
      <c r="R60" s="594"/>
    </row>
    <row r="61" spans="1:256">
      <c r="A61" s="543" t="s">
        <v>310</v>
      </c>
    </row>
    <row r="62" spans="1:256">
      <c r="A62" s="591" t="s">
        <v>311</v>
      </c>
    </row>
    <row r="63" spans="1:256">
      <c r="A63" s="591" t="s">
        <v>312</v>
      </c>
    </row>
    <row r="64" spans="1:256">
      <c r="A64" s="591" t="s">
        <v>313</v>
      </c>
    </row>
    <row r="65" spans="1:1">
      <c r="A65" s="591" t="s">
        <v>70</v>
      </c>
    </row>
  </sheetData>
  <autoFilter ref="A4:M4" xr:uid="{00000000-0009-0000-0000-000013000000}">
    <sortState xmlns:xlrd2="http://schemas.microsoft.com/office/spreadsheetml/2017/richdata2" ref="A5:O43">
      <sortCondition ref="A4"/>
    </sortState>
  </autoFilter>
  <hyperlinks>
    <hyperlink ref="A1" location="Index!A1" display="&lt; Back to Contents &gt;" xr:uid="{00000000-0004-0000-1300-000000000000}"/>
    <hyperlink ref="S1" location="'Ave weight 1996-2013'!_FilterDatabase" display="Ave weight 1996-2013" xr:uid="{00000000-0004-0000-1300-000001000000}"/>
  </hyperlinks>
  <pageMargins left="0.39370078740157483" right="0.31496062992125984" top="0.59055118110236227" bottom="0.39370078740157483" header="0" footer="0"/>
  <pageSetup scale="64" orientation="landscape" r:id="rId1"/>
  <headerFooter alignWithMargins="0"/>
  <rowBreaks count="1" manualBreakCount="1">
    <brk id="35" max="15" man="1"/>
  </rowBreaks>
  <ignoredErrors>
    <ignoredError sqref="Q5 T50:T56 Q7:Q43" formulaRange="1"/>
  </ignoredError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
  <dimension ref="A1:T63"/>
  <sheetViews>
    <sheetView showGridLines="0" zoomScaleNormal="100" workbookViewId="0">
      <pane xSplit="1" ySplit="4" topLeftCell="B5" activePane="bottomRight" state="frozen"/>
      <selection pane="topRight" activeCell="B1" sqref="B1"/>
      <selection pane="bottomLeft" activeCell="A5" sqref="A5"/>
      <selection pane="bottomRight" activeCell="N46" sqref="N46"/>
    </sheetView>
  </sheetViews>
  <sheetFormatPr defaultColWidth="9.140625" defaultRowHeight="15" customHeight="1"/>
  <cols>
    <col min="1" max="1" width="25.28515625" style="616" customWidth="1"/>
    <col min="2" max="3" width="9" style="601" bestFit="1" customWidth="1"/>
    <col min="4" max="4" width="7.7109375" style="602" bestFit="1" customWidth="1"/>
    <col min="5" max="6" width="8.28515625" style="601" bestFit="1" customWidth="1"/>
    <col min="7" max="7" width="9.28515625" style="601" bestFit="1" customWidth="1"/>
    <col min="8" max="8" width="6.42578125" style="601" bestFit="1" customWidth="1"/>
    <col min="9" max="9" width="7.28515625" style="601" bestFit="1" customWidth="1"/>
    <col min="10" max="10" width="10.140625" style="601" bestFit="1" customWidth="1"/>
    <col min="11" max="11" width="6.28515625" style="601" bestFit="1" customWidth="1"/>
    <col min="12" max="12" width="7.42578125" style="601" bestFit="1" customWidth="1"/>
    <col min="13" max="13" width="8.7109375" style="601" bestFit="1" customWidth="1"/>
    <col min="14" max="14" width="6.85546875" style="601" bestFit="1" customWidth="1"/>
    <col min="15" max="16" width="5.85546875" style="601" bestFit="1" customWidth="1"/>
    <col min="17" max="256" width="9.140625" style="601"/>
    <col min="257" max="257" width="64.85546875" style="601" customWidth="1"/>
    <col min="258" max="260" width="11.28515625" style="601" customWidth="1"/>
    <col min="261" max="261" width="10.28515625" style="601" customWidth="1"/>
    <col min="262" max="262" width="11.140625" style="601" customWidth="1"/>
    <col min="263" max="263" width="11.7109375" style="601" customWidth="1"/>
    <col min="264" max="264" width="9.140625" style="601" customWidth="1"/>
    <col min="265" max="265" width="9" style="601" customWidth="1"/>
    <col min="266" max="266" width="13.42578125" style="601" customWidth="1"/>
    <col min="267" max="267" width="8.140625" style="601" customWidth="1"/>
    <col min="268" max="269" width="9.42578125" style="601" customWidth="1"/>
    <col min="270" max="512" width="9.140625" style="601"/>
    <col min="513" max="513" width="64.85546875" style="601" customWidth="1"/>
    <col min="514" max="516" width="11.28515625" style="601" customWidth="1"/>
    <col min="517" max="517" width="10.28515625" style="601" customWidth="1"/>
    <col min="518" max="518" width="11.140625" style="601" customWidth="1"/>
    <col min="519" max="519" width="11.7109375" style="601" customWidth="1"/>
    <col min="520" max="520" width="9.140625" style="601" customWidth="1"/>
    <col min="521" max="521" width="9" style="601" customWidth="1"/>
    <col min="522" max="522" width="13.42578125" style="601" customWidth="1"/>
    <col min="523" max="523" width="8.140625" style="601" customWidth="1"/>
    <col min="524" max="525" width="9.42578125" style="601" customWidth="1"/>
    <col min="526" max="768" width="9.140625" style="601"/>
    <col min="769" max="769" width="64.85546875" style="601" customWidth="1"/>
    <col min="770" max="772" width="11.28515625" style="601" customWidth="1"/>
    <col min="773" max="773" width="10.28515625" style="601" customWidth="1"/>
    <col min="774" max="774" width="11.140625" style="601" customWidth="1"/>
    <col min="775" max="775" width="11.7109375" style="601" customWidth="1"/>
    <col min="776" max="776" width="9.140625" style="601" customWidth="1"/>
    <col min="777" max="777" width="9" style="601" customWidth="1"/>
    <col min="778" max="778" width="13.42578125" style="601" customWidth="1"/>
    <col min="779" max="779" width="8.140625" style="601" customWidth="1"/>
    <col min="780" max="781" width="9.42578125" style="601" customWidth="1"/>
    <col min="782" max="1024" width="9.140625" style="601"/>
    <col min="1025" max="1025" width="64.85546875" style="601" customWidth="1"/>
    <col min="1026" max="1028" width="11.28515625" style="601" customWidth="1"/>
    <col min="1029" max="1029" width="10.28515625" style="601" customWidth="1"/>
    <col min="1030" max="1030" width="11.140625" style="601" customWidth="1"/>
    <col min="1031" max="1031" width="11.7109375" style="601" customWidth="1"/>
    <col min="1032" max="1032" width="9.140625" style="601" customWidth="1"/>
    <col min="1033" max="1033" width="9" style="601" customWidth="1"/>
    <col min="1034" max="1034" width="13.42578125" style="601" customWidth="1"/>
    <col min="1035" max="1035" width="8.140625" style="601" customWidth="1"/>
    <col min="1036" max="1037" width="9.42578125" style="601" customWidth="1"/>
    <col min="1038" max="1280" width="9.140625" style="601"/>
    <col min="1281" max="1281" width="64.85546875" style="601" customWidth="1"/>
    <col min="1282" max="1284" width="11.28515625" style="601" customWidth="1"/>
    <col min="1285" max="1285" width="10.28515625" style="601" customWidth="1"/>
    <col min="1286" max="1286" width="11.140625" style="601" customWidth="1"/>
    <col min="1287" max="1287" width="11.7109375" style="601" customWidth="1"/>
    <col min="1288" max="1288" width="9.140625" style="601" customWidth="1"/>
    <col min="1289" max="1289" width="9" style="601" customWidth="1"/>
    <col min="1290" max="1290" width="13.42578125" style="601" customWidth="1"/>
    <col min="1291" max="1291" width="8.140625" style="601" customWidth="1"/>
    <col min="1292" max="1293" width="9.42578125" style="601" customWidth="1"/>
    <col min="1294" max="1536" width="9.140625" style="601"/>
    <col min="1537" max="1537" width="64.85546875" style="601" customWidth="1"/>
    <col min="1538" max="1540" width="11.28515625" style="601" customWidth="1"/>
    <col min="1541" max="1541" width="10.28515625" style="601" customWidth="1"/>
    <col min="1542" max="1542" width="11.140625" style="601" customWidth="1"/>
    <col min="1543" max="1543" width="11.7109375" style="601" customWidth="1"/>
    <col min="1544" max="1544" width="9.140625" style="601" customWidth="1"/>
    <col min="1545" max="1545" width="9" style="601" customWidth="1"/>
    <col min="1546" max="1546" width="13.42578125" style="601" customWidth="1"/>
    <col min="1547" max="1547" width="8.140625" style="601" customWidth="1"/>
    <col min="1548" max="1549" width="9.42578125" style="601" customWidth="1"/>
    <col min="1550" max="1792" width="9.140625" style="601"/>
    <col min="1793" max="1793" width="64.85546875" style="601" customWidth="1"/>
    <col min="1794" max="1796" width="11.28515625" style="601" customWidth="1"/>
    <col min="1797" max="1797" width="10.28515625" style="601" customWidth="1"/>
    <col min="1798" max="1798" width="11.140625" style="601" customWidth="1"/>
    <col min="1799" max="1799" width="11.7109375" style="601" customWidth="1"/>
    <col min="1800" max="1800" width="9.140625" style="601" customWidth="1"/>
    <col min="1801" max="1801" width="9" style="601" customWidth="1"/>
    <col min="1802" max="1802" width="13.42578125" style="601" customWidth="1"/>
    <col min="1803" max="1803" width="8.140625" style="601" customWidth="1"/>
    <col min="1804" max="1805" width="9.42578125" style="601" customWidth="1"/>
    <col min="1806" max="2048" width="9.140625" style="601"/>
    <col min="2049" max="2049" width="64.85546875" style="601" customWidth="1"/>
    <col min="2050" max="2052" width="11.28515625" style="601" customWidth="1"/>
    <col min="2053" max="2053" width="10.28515625" style="601" customWidth="1"/>
    <col min="2054" max="2054" width="11.140625" style="601" customWidth="1"/>
    <col min="2055" max="2055" width="11.7109375" style="601" customWidth="1"/>
    <col min="2056" max="2056" width="9.140625" style="601" customWidth="1"/>
    <col min="2057" max="2057" width="9" style="601" customWidth="1"/>
    <col min="2058" max="2058" width="13.42578125" style="601" customWidth="1"/>
    <col min="2059" max="2059" width="8.140625" style="601" customWidth="1"/>
    <col min="2060" max="2061" width="9.42578125" style="601" customWidth="1"/>
    <col min="2062" max="2304" width="9.140625" style="601"/>
    <col min="2305" max="2305" width="64.85546875" style="601" customWidth="1"/>
    <col min="2306" max="2308" width="11.28515625" style="601" customWidth="1"/>
    <col min="2309" max="2309" width="10.28515625" style="601" customWidth="1"/>
    <col min="2310" max="2310" width="11.140625" style="601" customWidth="1"/>
    <col min="2311" max="2311" width="11.7109375" style="601" customWidth="1"/>
    <col min="2312" max="2312" width="9.140625" style="601" customWidth="1"/>
    <col min="2313" max="2313" width="9" style="601" customWidth="1"/>
    <col min="2314" max="2314" width="13.42578125" style="601" customWidth="1"/>
    <col min="2315" max="2315" width="8.140625" style="601" customWidth="1"/>
    <col min="2316" max="2317" width="9.42578125" style="601" customWidth="1"/>
    <col min="2318" max="2560" width="9.140625" style="601"/>
    <col min="2561" max="2561" width="64.85546875" style="601" customWidth="1"/>
    <col min="2562" max="2564" width="11.28515625" style="601" customWidth="1"/>
    <col min="2565" max="2565" width="10.28515625" style="601" customWidth="1"/>
    <col min="2566" max="2566" width="11.140625" style="601" customWidth="1"/>
    <col min="2567" max="2567" width="11.7109375" style="601" customWidth="1"/>
    <col min="2568" max="2568" width="9.140625" style="601" customWidth="1"/>
    <col min="2569" max="2569" width="9" style="601" customWidth="1"/>
    <col min="2570" max="2570" width="13.42578125" style="601" customWidth="1"/>
    <col min="2571" max="2571" width="8.140625" style="601" customWidth="1"/>
    <col min="2572" max="2573" width="9.42578125" style="601" customWidth="1"/>
    <col min="2574" max="2816" width="9.140625" style="601"/>
    <col min="2817" max="2817" width="64.85546875" style="601" customWidth="1"/>
    <col min="2818" max="2820" width="11.28515625" style="601" customWidth="1"/>
    <col min="2821" max="2821" width="10.28515625" style="601" customWidth="1"/>
    <col min="2822" max="2822" width="11.140625" style="601" customWidth="1"/>
    <col min="2823" max="2823" width="11.7109375" style="601" customWidth="1"/>
    <col min="2824" max="2824" width="9.140625" style="601" customWidth="1"/>
    <col min="2825" max="2825" width="9" style="601" customWidth="1"/>
    <col min="2826" max="2826" width="13.42578125" style="601" customWidth="1"/>
    <col min="2827" max="2827" width="8.140625" style="601" customWidth="1"/>
    <col min="2828" max="2829" width="9.42578125" style="601" customWidth="1"/>
    <col min="2830" max="3072" width="9.140625" style="601"/>
    <col min="3073" max="3073" width="64.85546875" style="601" customWidth="1"/>
    <col min="3074" max="3076" width="11.28515625" style="601" customWidth="1"/>
    <col min="3077" max="3077" width="10.28515625" style="601" customWidth="1"/>
    <col min="3078" max="3078" width="11.140625" style="601" customWidth="1"/>
    <col min="3079" max="3079" width="11.7109375" style="601" customWidth="1"/>
    <col min="3080" max="3080" width="9.140625" style="601" customWidth="1"/>
    <col min="3081" max="3081" width="9" style="601" customWidth="1"/>
    <col min="3082" max="3082" width="13.42578125" style="601" customWidth="1"/>
    <col min="3083" max="3083" width="8.140625" style="601" customWidth="1"/>
    <col min="3084" max="3085" width="9.42578125" style="601" customWidth="1"/>
    <col min="3086" max="3328" width="9.140625" style="601"/>
    <col min="3329" max="3329" width="64.85546875" style="601" customWidth="1"/>
    <col min="3330" max="3332" width="11.28515625" style="601" customWidth="1"/>
    <col min="3333" max="3333" width="10.28515625" style="601" customWidth="1"/>
    <col min="3334" max="3334" width="11.140625" style="601" customWidth="1"/>
    <col min="3335" max="3335" width="11.7109375" style="601" customWidth="1"/>
    <col min="3336" max="3336" width="9.140625" style="601" customWidth="1"/>
    <col min="3337" max="3337" width="9" style="601" customWidth="1"/>
    <col min="3338" max="3338" width="13.42578125" style="601" customWidth="1"/>
    <col min="3339" max="3339" width="8.140625" style="601" customWidth="1"/>
    <col min="3340" max="3341" width="9.42578125" style="601" customWidth="1"/>
    <col min="3342" max="3584" width="9.140625" style="601"/>
    <col min="3585" max="3585" width="64.85546875" style="601" customWidth="1"/>
    <col min="3586" max="3588" width="11.28515625" style="601" customWidth="1"/>
    <col min="3589" max="3589" width="10.28515625" style="601" customWidth="1"/>
    <col min="3590" max="3590" width="11.140625" style="601" customWidth="1"/>
    <col min="3591" max="3591" width="11.7109375" style="601" customWidth="1"/>
    <col min="3592" max="3592" width="9.140625" style="601" customWidth="1"/>
    <col min="3593" max="3593" width="9" style="601" customWidth="1"/>
    <col min="3594" max="3594" width="13.42578125" style="601" customWidth="1"/>
    <col min="3595" max="3595" width="8.140625" style="601" customWidth="1"/>
    <col min="3596" max="3597" width="9.42578125" style="601" customWidth="1"/>
    <col min="3598" max="3840" width="9.140625" style="601"/>
    <col min="3841" max="3841" width="64.85546875" style="601" customWidth="1"/>
    <col min="3842" max="3844" width="11.28515625" style="601" customWidth="1"/>
    <col min="3845" max="3845" width="10.28515625" style="601" customWidth="1"/>
    <col min="3846" max="3846" width="11.140625" style="601" customWidth="1"/>
    <col min="3847" max="3847" width="11.7109375" style="601" customWidth="1"/>
    <col min="3848" max="3848" width="9.140625" style="601" customWidth="1"/>
    <col min="3849" max="3849" width="9" style="601" customWidth="1"/>
    <col min="3850" max="3850" width="13.42578125" style="601" customWidth="1"/>
    <col min="3851" max="3851" width="8.140625" style="601" customWidth="1"/>
    <col min="3852" max="3853" width="9.42578125" style="601" customWidth="1"/>
    <col min="3854" max="4096" width="9.140625" style="601"/>
    <col min="4097" max="4097" width="64.85546875" style="601" customWidth="1"/>
    <col min="4098" max="4100" width="11.28515625" style="601" customWidth="1"/>
    <col min="4101" max="4101" width="10.28515625" style="601" customWidth="1"/>
    <col min="4102" max="4102" width="11.140625" style="601" customWidth="1"/>
    <col min="4103" max="4103" width="11.7109375" style="601" customWidth="1"/>
    <col min="4104" max="4104" width="9.140625" style="601" customWidth="1"/>
    <col min="4105" max="4105" width="9" style="601" customWidth="1"/>
    <col min="4106" max="4106" width="13.42578125" style="601" customWidth="1"/>
    <col min="4107" max="4107" width="8.140625" style="601" customWidth="1"/>
    <col min="4108" max="4109" width="9.42578125" style="601" customWidth="1"/>
    <col min="4110" max="4352" width="9.140625" style="601"/>
    <col min="4353" max="4353" width="64.85546875" style="601" customWidth="1"/>
    <col min="4354" max="4356" width="11.28515625" style="601" customWidth="1"/>
    <col min="4357" max="4357" width="10.28515625" style="601" customWidth="1"/>
    <col min="4358" max="4358" width="11.140625" style="601" customWidth="1"/>
    <col min="4359" max="4359" width="11.7109375" style="601" customWidth="1"/>
    <col min="4360" max="4360" width="9.140625" style="601" customWidth="1"/>
    <col min="4361" max="4361" width="9" style="601" customWidth="1"/>
    <col min="4362" max="4362" width="13.42578125" style="601" customWidth="1"/>
    <col min="4363" max="4363" width="8.140625" style="601" customWidth="1"/>
    <col min="4364" max="4365" width="9.42578125" style="601" customWidth="1"/>
    <col min="4366" max="4608" width="9.140625" style="601"/>
    <col min="4609" max="4609" width="64.85546875" style="601" customWidth="1"/>
    <col min="4610" max="4612" width="11.28515625" style="601" customWidth="1"/>
    <col min="4613" max="4613" width="10.28515625" style="601" customWidth="1"/>
    <col min="4614" max="4614" width="11.140625" style="601" customWidth="1"/>
    <col min="4615" max="4615" width="11.7109375" style="601" customWidth="1"/>
    <col min="4616" max="4616" width="9.140625" style="601" customWidth="1"/>
    <col min="4617" max="4617" width="9" style="601" customWidth="1"/>
    <col min="4618" max="4618" width="13.42578125" style="601" customWidth="1"/>
    <col min="4619" max="4619" width="8.140625" style="601" customWidth="1"/>
    <col min="4620" max="4621" width="9.42578125" style="601" customWidth="1"/>
    <col min="4622" max="4864" width="9.140625" style="601"/>
    <col min="4865" max="4865" width="64.85546875" style="601" customWidth="1"/>
    <col min="4866" max="4868" width="11.28515625" style="601" customWidth="1"/>
    <col min="4869" max="4869" width="10.28515625" style="601" customWidth="1"/>
    <col min="4870" max="4870" width="11.140625" style="601" customWidth="1"/>
    <col min="4871" max="4871" width="11.7109375" style="601" customWidth="1"/>
    <col min="4872" max="4872" width="9.140625" style="601" customWidth="1"/>
    <col min="4873" max="4873" width="9" style="601" customWidth="1"/>
    <col min="4874" max="4874" width="13.42578125" style="601" customWidth="1"/>
    <col min="4875" max="4875" width="8.140625" style="601" customWidth="1"/>
    <col min="4876" max="4877" width="9.42578125" style="601" customWidth="1"/>
    <col min="4878" max="5120" width="9.140625" style="601"/>
    <col min="5121" max="5121" width="64.85546875" style="601" customWidth="1"/>
    <col min="5122" max="5124" width="11.28515625" style="601" customWidth="1"/>
    <col min="5125" max="5125" width="10.28515625" style="601" customWidth="1"/>
    <col min="5126" max="5126" width="11.140625" style="601" customWidth="1"/>
    <col min="5127" max="5127" width="11.7109375" style="601" customWidth="1"/>
    <col min="5128" max="5128" width="9.140625" style="601" customWidth="1"/>
    <col min="5129" max="5129" width="9" style="601" customWidth="1"/>
    <col min="5130" max="5130" width="13.42578125" style="601" customWidth="1"/>
    <col min="5131" max="5131" width="8.140625" style="601" customWidth="1"/>
    <col min="5132" max="5133" width="9.42578125" style="601" customWidth="1"/>
    <col min="5134" max="5376" width="9.140625" style="601"/>
    <col min="5377" max="5377" width="64.85546875" style="601" customWidth="1"/>
    <col min="5378" max="5380" width="11.28515625" style="601" customWidth="1"/>
    <col min="5381" max="5381" width="10.28515625" style="601" customWidth="1"/>
    <col min="5382" max="5382" width="11.140625" style="601" customWidth="1"/>
    <col min="5383" max="5383" width="11.7109375" style="601" customWidth="1"/>
    <col min="5384" max="5384" width="9.140625" style="601" customWidth="1"/>
    <col min="5385" max="5385" width="9" style="601" customWidth="1"/>
    <col min="5386" max="5386" width="13.42578125" style="601" customWidth="1"/>
    <col min="5387" max="5387" width="8.140625" style="601" customWidth="1"/>
    <col min="5388" max="5389" width="9.42578125" style="601" customWidth="1"/>
    <col min="5390" max="5632" width="9.140625" style="601"/>
    <col min="5633" max="5633" width="64.85546875" style="601" customWidth="1"/>
    <col min="5634" max="5636" width="11.28515625" style="601" customWidth="1"/>
    <col min="5637" max="5637" width="10.28515625" style="601" customWidth="1"/>
    <col min="5638" max="5638" width="11.140625" style="601" customWidth="1"/>
    <col min="5639" max="5639" width="11.7109375" style="601" customWidth="1"/>
    <col min="5640" max="5640" width="9.140625" style="601" customWidth="1"/>
    <col min="5641" max="5641" width="9" style="601" customWidth="1"/>
    <col min="5642" max="5642" width="13.42578125" style="601" customWidth="1"/>
    <col min="5643" max="5643" width="8.140625" style="601" customWidth="1"/>
    <col min="5644" max="5645" width="9.42578125" style="601" customWidth="1"/>
    <col min="5646" max="5888" width="9.140625" style="601"/>
    <col min="5889" max="5889" width="64.85546875" style="601" customWidth="1"/>
    <col min="5890" max="5892" width="11.28515625" style="601" customWidth="1"/>
    <col min="5893" max="5893" width="10.28515625" style="601" customWidth="1"/>
    <col min="5894" max="5894" width="11.140625" style="601" customWidth="1"/>
    <col min="5895" max="5895" width="11.7109375" style="601" customWidth="1"/>
    <col min="5896" max="5896" width="9.140625" style="601" customWidth="1"/>
    <col min="5897" max="5897" width="9" style="601" customWidth="1"/>
    <col min="5898" max="5898" width="13.42578125" style="601" customWidth="1"/>
    <col min="5899" max="5899" width="8.140625" style="601" customWidth="1"/>
    <col min="5900" max="5901" width="9.42578125" style="601" customWidth="1"/>
    <col min="5902" max="6144" width="9.140625" style="601"/>
    <col min="6145" max="6145" width="64.85546875" style="601" customWidth="1"/>
    <col min="6146" max="6148" width="11.28515625" style="601" customWidth="1"/>
    <col min="6149" max="6149" width="10.28515625" style="601" customWidth="1"/>
    <col min="6150" max="6150" width="11.140625" style="601" customWidth="1"/>
    <col min="6151" max="6151" width="11.7109375" style="601" customWidth="1"/>
    <col min="6152" max="6152" width="9.140625" style="601" customWidth="1"/>
    <col min="6153" max="6153" width="9" style="601" customWidth="1"/>
    <col min="6154" max="6154" width="13.42578125" style="601" customWidth="1"/>
    <col min="6155" max="6155" width="8.140625" style="601" customWidth="1"/>
    <col min="6156" max="6157" width="9.42578125" style="601" customWidth="1"/>
    <col min="6158" max="6400" width="9.140625" style="601"/>
    <col min="6401" max="6401" width="64.85546875" style="601" customWidth="1"/>
    <col min="6402" max="6404" width="11.28515625" style="601" customWidth="1"/>
    <col min="6405" max="6405" width="10.28515625" style="601" customWidth="1"/>
    <col min="6406" max="6406" width="11.140625" style="601" customWidth="1"/>
    <col min="6407" max="6407" width="11.7109375" style="601" customWidth="1"/>
    <col min="6408" max="6408" width="9.140625" style="601" customWidth="1"/>
    <col min="6409" max="6409" width="9" style="601" customWidth="1"/>
    <col min="6410" max="6410" width="13.42578125" style="601" customWidth="1"/>
    <col min="6411" max="6411" width="8.140625" style="601" customWidth="1"/>
    <col min="6412" max="6413" width="9.42578125" style="601" customWidth="1"/>
    <col min="6414" max="6656" width="9.140625" style="601"/>
    <col min="6657" max="6657" width="64.85546875" style="601" customWidth="1"/>
    <col min="6658" max="6660" width="11.28515625" style="601" customWidth="1"/>
    <col min="6661" max="6661" width="10.28515625" style="601" customWidth="1"/>
    <col min="6662" max="6662" width="11.140625" style="601" customWidth="1"/>
    <col min="6663" max="6663" width="11.7109375" style="601" customWidth="1"/>
    <col min="6664" max="6664" width="9.140625" style="601" customWidth="1"/>
    <col min="6665" max="6665" width="9" style="601" customWidth="1"/>
    <col min="6666" max="6666" width="13.42578125" style="601" customWidth="1"/>
    <col min="6667" max="6667" width="8.140625" style="601" customWidth="1"/>
    <col min="6668" max="6669" width="9.42578125" style="601" customWidth="1"/>
    <col min="6670" max="6912" width="9.140625" style="601"/>
    <col min="6913" max="6913" width="64.85546875" style="601" customWidth="1"/>
    <col min="6914" max="6916" width="11.28515625" style="601" customWidth="1"/>
    <col min="6917" max="6917" width="10.28515625" style="601" customWidth="1"/>
    <col min="6918" max="6918" width="11.140625" style="601" customWidth="1"/>
    <col min="6919" max="6919" width="11.7109375" style="601" customWidth="1"/>
    <col min="6920" max="6920" width="9.140625" style="601" customWidth="1"/>
    <col min="6921" max="6921" width="9" style="601" customWidth="1"/>
    <col min="6922" max="6922" width="13.42578125" style="601" customWidth="1"/>
    <col min="6923" max="6923" width="8.140625" style="601" customWidth="1"/>
    <col min="6924" max="6925" width="9.42578125" style="601" customWidth="1"/>
    <col min="6926" max="7168" width="9.140625" style="601"/>
    <col min="7169" max="7169" width="64.85546875" style="601" customWidth="1"/>
    <col min="7170" max="7172" width="11.28515625" style="601" customWidth="1"/>
    <col min="7173" max="7173" width="10.28515625" style="601" customWidth="1"/>
    <col min="7174" max="7174" width="11.140625" style="601" customWidth="1"/>
    <col min="7175" max="7175" width="11.7109375" style="601" customWidth="1"/>
    <col min="7176" max="7176" width="9.140625" style="601" customWidth="1"/>
    <col min="7177" max="7177" width="9" style="601" customWidth="1"/>
    <col min="7178" max="7178" width="13.42578125" style="601" customWidth="1"/>
    <col min="7179" max="7179" width="8.140625" style="601" customWidth="1"/>
    <col min="7180" max="7181" width="9.42578125" style="601" customWidth="1"/>
    <col min="7182" max="7424" width="9.140625" style="601"/>
    <col min="7425" max="7425" width="64.85546875" style="601" customWidth="1"/>
    <col min="7426" max="7428" width="11.28515625" style="601" customWidth="1"/>
    <col min="7429" max="7429" width="10.28515625" style="601" customWidth="1"/>
    <col min="7430" max="7430" width="11.140625" style="601" customWidth="1"/>
    <col min="7431" max="7431" width="11.7109375" style="601" customWidth="1"/>
    <col min="7432" max="7432" width="9.140625" style="601" customWidth="1"/>
    <col min="7433" max="7433" width="9" style="601" customWidth="1"/>
    <col min="7434" max="7434" width="13.42578125" style="601" customWidth="1"/>
    <col min="7435" max="7435" width="8.140625" style="601" customWidth="1"/>
    <col min="7436" max="7437" width="9.42578125" style="601" customWidth="1"/>
    <col min="7438" max="7680" width="9.140625" style="601"/>
    <col min="7681" max="7681" width="64.85546875" style="601" customWidth="1"/>
    <col min="7682" max="7684" width="11.28515625" style="601" customWidth="1"/>
    <col min="7685" max="7685" width="10.28515625" style="601" customWidth="1"/>
    <col min="7686" max="7686" width="11.140625" style="601" customWidth="1"/>
    <col min="7687" max="7687" width="11.7109375" style="601" customWidth="1"/>
    <col min="7688" max="7688" width="9.140625" style="601" customWidth="1"/>
    <col min="7689" max="7689" width="9" style="601" customWidth="1"/>
    <col min="7690" max="7690" width="13.42578125" style="601" customWidth="1"/>
    <col min="7691" max="7691" width="8.140625" style="601" customWidth="1"/>
    <col min="7692" max="7693" width="9.42578125" style="601" customWidth="1"/>
    <col min="7694" max="7936" width="9.140625" style="601"/>
    <col min="7937" max="7937" width="64.85546875" style="601" customWidth="1"/>
    <col min="7938" max="7940" width="11.28515625" style="601" customWidth="1"/>
    <col min="7941" max="7941" width="10.28515625" style="601" customWidth="1"/>
    <col min="7942" max="7942" width="11.140625" style="601" customWidth="1"/>
    <col min="7943" max="7943" width="11.7109375" style="601" customWidth="1"/>
    <col min="7944" max="7944" width="9.140625" style="601" customWidth="1"/>
    <col min="7945" max="7945" width="9" style="601" customWidth="1"/>
    <col min="7946" max="7946" width="13.42578125" style="601" customWidth="1"/>
    <col min="7947" max="7947" width="8.140625" style="601" customWidth="1"/>
    <col min="7948" max="7949" width="9.42578125" style="601" customWidth="1"/>
    <col min="7950" max="8192" width="9.140625" style="601"/>
    <col min="8193" max="8193" width="64.85546875" style="601" customWidth="1"/>
    <col min="8194" max="8196" width="11.28515625" style="601" customWidth="1"/>
    <col min="8197" max="8197" width="10.28515625" style="601" customWidth="1"/>
    <col min="8198" max="8198" width="11.140625" style="601" customWidth="1"/>
    <col min="8199" max="8199" width="11.7109375" style="601" customWidth="1"/>
    <col min="8200" max="8200" width="9.140625" style="601" customWidth="1"/>
    <col min="8201" max="8201" width="9" style="601" customWidth="1"/>
    <col min="8202" max="8202" width="13.42578125" style="601" customWidth="1"/>
    <col min="8203" max="8203" width="8.140625" style="601" customWidth="1"/>
    <col min="8204" max="8205" width="9.42578125" style="601" customWidth="1"/>
    <col min="8206" max="8448" width="9.140625" style="601"/>
    <col min="8449" max="8449" width="64.85546875" style="601" customWidth="1"/>
    <col min="8450" max="8452" width="11.28515625" style="601" customWidth="1"/>
    <col min="8453" max="8453" width="10.28515625" style="601" customWidth="1"/>
    <col min="8454" max="8454" width="11.140625" style="601" customWidth="1"/>
    <col min="8455" max="8455" width="11.7109375" style="601" customWidth="1"/>
    <col min="8456" max="8456" width="9.140625" style="601" customWidth="1"/>
    <col min="8457" max="8457" width="9" style="601" customWidth="1"/>
    <col min="8458" max="8458" width="13.42578125" style="601" customWidth="1"/>
    <col min="8459" max="8459" width="8.140625" style="601" customWidth="1"/>
    <col min="8460" max="8461" width="9.42578125" style="601" customWidth="1"/>
    <col min="8462" max="8704" width="9.140625" style="601"/>
    <col min="8705" max="8705" width="64.85546875" style="601" customWidth="1"/>
    <col min="8706" max="8708" width="11.28515625" style="601" customWidth="1"/>
    <col min="8709" max="8709" width="10.28515625" style="601" customWidth="1"/>
    <col min="8710" max="8710" width="11.140625" style="601" customWidth="1"/>
    <col min="8711" max="8711" width="11.7109375" style="601" customWidth="1"/>
    <col min="8712" max="8712" width="9.140625" style="601" customWidth="1"/>
    <col min="8713" max="8713" width="9" style="601" customWidth="1"/>
    <col min="8714" max="8714" width="13.42578125" style="601" customWidth="1"/>
    <col min="8715" max="8715" width="8.140625" style="601" customWidth="1"/>
    <col min="8716" max="8717" width="9.42578125" style="601" customWidth="1"/>
    <col min="8718" max="8960" width="9.140625" style="601"/>
    <col min="8961" max="8961" width="64.85546875" style="601" customWidth="1"/>
    <col min="8962" max="8964" width="11.28515625" style="601" customWidth="1"/>
    <col min="8965" max="8965" width="10.28515625" style="601" customWidth="1"/>
    <col min="8966" max="8966" width="11.140625" style="601" customWidth="1"/>
    <col min="8967" max="8967" width="11.7109375" style="601" customWidth="1"/>
    <col min="8968" max="8968" width="9.140625" style="601" customWidth="1"/>
    <col min="8969" max="8969" width="9" style="601" customWidth="1"/>
    <col min="8970" max="8970" width="13.42578125" style="601" customWidth="1"/>
    <col min="8971" max="8971" width="8.140625" style="601" customWidth="1"/>
    <col min="8972" max="8973" width="9.42578125" style="601" customWidth="1"/>
    <col min="8974" max="9216" width="9.140625" style="601"/>
    <col min="9217" max="9217" width="64.85546875" style="601" customWidth="1"/>
    <col min="9218" max="9220" width="11.28515625" style="601" customWidth="1"/>
    <col min="9221" max="9221" width="10.28515625" style="601" customWidth="1"/>
    <col min="9222" max="9222" width="11.140625" style="601" customWidth="1"/>
    <col min="9223" max="9223" width="11.7109375" style="601" customWidth="1"/>
    <col min="9224" max="9224" width="9.140625" style="601" customWidth="1"/>
    <col min="9225" max="9225" width="9" style="601" customWidth="1"/>
    <col min="9226" max="9226" width="13.42578125" style="601" customWidth="1"/>
    <col min="9227" max="9227" width="8.140625" style="601" customWidth="1"/>
    <col min="9228" max="9229" width="9.42578125" style="601" customWidth="1"/>
    <col min="9230" max="9472" width="9.140625" style="601"/>
    <col min="9473" max="9473" width="64.85546875" style="601" customWidth="1"/>
    <col min="9474" max="9476" width="11.28515625" style="601" customWidth="1"/>
    <col min="9477" max="9477" width="10.28515625" style="601" customWidth="1"/>
    <col min="9478" max="9478" width="11.140625" style="601" customWidth="1"/>
    <col min="9479" max="9479" width="11.7109375" style="601" customWidth="1"/>
    <col min="9480" max="9480" width="9.140625" style="601" customWidth="1"/>
    <col min="9481" max="9481" width="9" style="601" customWidth="1"/>
    <col min="9482" max="9482" width="13.42578125" style="601" customWidth="1"/>
    <col min="9483" max="9483" width="8.140625" style="601" customWidth="1"/>
    <col min="9484" max="9485" width="9.42578125" style="601" customWidth="1"/>
    <col min="9486" max="9728" width="9.140625" style="601"/>
    <col min="9729" max="9729" width="64.85546875" style="601" customWidth="1"/>
    <col min="9730" max="9732" width="11.28515625" style="601" customWidth="1"/>
    <col min="9733" max="9733" width="10.28515625" style="601" customWidth="1"/>
    <col min="9734" max="9734" width="11.140625" style="601" customWidth="1"/>
    <col min="9735" max="9735" width="11.7109375" style="601" customWidth="1"/>
    <col min="9736" max="9736" width="9.140625" style="601" customWidth="1"/>
    <col min="9737" max="9737" width="9" style="601" customWidth="1"/>
    <col min="9738" max="9738" width="13.42578125" style="601" customWidth="1"/>
    <col min="9739" max="9739" width="8.140625" style="601" customWidth="1"/>
    <col min="9740" max="9741" width="9.42578125" style="601" customWidth="1"/>
    <col min="9742" max="9984" width="9.140625" style="601"/>
    <col min="9985" max="9985" width="64.85546875" style="601" customWidth="1"/>
    <col min="9986" max="9988" width="11.28515625" style="601" customWidth="1"/>
    <col min="9989" max="9989" width="10.28515625" style="601" customWidth="1"/>
    <col min="9990" max="9990" width="11.140625" style="601" customWidth="1"/>
    <col min="9991" max="9991" width="11.7109375" style="601" customWidth="1"/>
    <col min="9992" max="9992" width="9.140625" style="601" customWidth="1"/>
    <col min="9993" max="9993" width="9" style="601" customWidth="1"/>
    <col min="9994" max="9994" width="13.42578125" style="601" customWidth="1"/>
    <col min="9995" max="9995" width="8.140625" style="601" customWidth="1"/>
    <col min="9996" max="9997" width="9.42578125" style="601" customWidth="1"/>
    <col min="9998" max="10240" width="9.140625" style="601"/>
    <col min="10241" max="10241" width="64.85546875" style="601" customWidth="1"/>
    <col min="10242" max="10244" width="11.28515625" style="601" customWidth="1"/>
    <col min="10245" max="10245" width="10.28515625" style="601" customWidth="1"/>
    <col min="10246" max="10246" width="11.140625" style="601" customWidth="1"/>
    <col min="10247" max="10247" width="11.7109375" style="601" customWidth="1"/>
    <col min="10248" max="10248" width="9.140625" style="601" customWidth="1"/>
    <col min="10249" max="10249" width="9" style="601" customWidth="1"/>
    <col min="10250" max="10250" width="13.42578125" style="601" customWidth="1"/>
    <col min="10251" max="10251" width="8.140625" style="601" customWidth="1"/>
    <col min="10252" max="10253" width="9.42578125" style="601" customWidth="1"/>
    <col min="10254" max="10496" width="9.140625" style="601"/>
    <col min="10497" max="10497" width="64.85546875" style="601" customWidth="1"/>
    <col min="10498" max="10500" width="11.28515625" style="601" customWidth="1"/>
    <col min="10501" max="10501" width="10.28515625" style="601" customWidth="1"/>
    <col min="10502" max="10502" width="11.140625" style="601" customWidth="1"/>
    <col min="10503" max="10503" width="11.7109375" style="601" customWidth="1"/>
    <col min="10504" max="10504" width="9.140625" style="601" customWidth="1"/>
    <col min="10505" max="10505" width="9" style="601" customWidth="1"/>
    <col min="10506" max="10506" width="13.42578125" style="601" customWidth="1"/>
    <col min="10507" max="10507" width="8.140625" style="601" customWidth="1"/>
    <col min="10508" max="10509" width="9.42578125" style="601" customWidth="1"/>
    <col min="10510" max="10752" width="9.140625" style="601"/>
    <col min="10753" max="10753" width="64.85546875" style="601" customWidth="1"/>
    <col min="10754" max="10756" width="11.28515625" style="601" customWidth="1"/>
    <col min="10757" max="10757" width="10.28515625" style="601" customWidth="1"/>
    <col min="10758" max="10758" width="11.140625" style="601" customWidth="1"/>
    <col min="10759" max="10759" width="11.7109375" style="601" customWidth="1"/>
    <col min="10760" max="10760" width="9.140625" style="601" customWidth="1"/>
    <col min="10761" max="10761" width="9" style="601" customWidth="1"/>
    <col min="10762" max="10762" width="13.42578125" style="601" customWidth="1"/>
    <col min="10763" max="10763" width="8.140625" style="601" customWidth="1"/>
    <col min="10764" max="10765" width="9.42578125" style="601" customWidth="1"/>
    <col min="10766" max="11008" width="9.140625" style="601"/>
    <col min="11009" max="11009" width="64.85546875" style="601" customWidth="1"/>
    <col min="11010" max="11012" width="11.28515625" style="601" customWidth="1"/>
    <col min="11013" max="11013" width="10.28515625" style="601" customWidth="1"/>
    <col min="11014" max="11014" width="11.140625" style="601" customWidth="1"/>
    <col min="11015" max="11015" width="11.7109375" style="601" customWidth="1"/>
    <col min="11016" max="11016" width="9.140625" style="601" customWidth="1"/>
    <col min="11017" max="11017" width="9" style="601" customWidth="1"/>
    <col min="11018" max="11018" width="13.42578125" style="601" customWidth="1"/>
    <col min="11019" max="11019" width="8.140625" style="601" customWidth="1"/>
    <col min="11020" max="11021" width="9.42578125" style="601" customWidth="1"/>
    <col min="11022" max="11264" width="9.140625" style="601"/>
    <col min="11265" max="11265" width="64.85546875" style="601" customWidth="1"/>
    <col min="11266" max="11268" width="11.28515625" style="601" customWidth="1"/>
    <col min="11269" max="11269" width="10.28515625" style="601" customWidth="1"/>
    <col min="11270" max="11270" width="11.140625" style="601" customWidth="1"/>
    <col min="11271" max="11271" width="11.7109375" style="601" customWidth="1"/>
    <col min="11272" max="11272" width="9.140625" style="601" customWidth="1"/>
    <col min="11273" max="11273" width="9" style="601" customWidth="1"/>
    <col min="11274" max="11274" width="13.42578125" style="601" customWidth="1"/>
    <col min="11275" max="11275" width="8.140625" style="601" customWidth="1"/>
    <col min="11276" max="11277" width="9.42578125" style="601" customWidth="1"/>
    <col min="11278" max="11520" width="9.140625" style="601"/>
    <col min="11521" max="11521" width="64.85546875" style="601" customWidth="1"/>
    <col min="11522" max="11524" width="11.28515625" style="601" customWidth="1"/>
    <col min="11525" max="11525" width="10.28515625" style="601" customWidth="1"/>
    <col min="11526" max="11526" width="11.140625" style="601" customWidth="1"/>
    <col min="11527" max="11527" width="11.7109375" style="601" customWidth="1"/>
    <col min="11528" max="11528" width="9.140625" style="601" customWidth="1"/>
    <col min="11529" max="11529" width="9" style="601" customWidth="1"/>
    <col min="11530" max="11530" width="13.42578125" style="601" customWidth="1"/>
    <col min="11531" max="11531" width="8.140625" style="601" customWidth="1"/>
    <col min="11532" max="11533" width="9.42578125" style="601" customWidth="1"/>
    <col min="11534" max="11776" width="9.140625" style="601"/>
    <col min="11777" max="11777" width="64.85546875" style="601" customWidth="1"/>
    <col min="11778" max="11780" width="11.28515625" style="601" customWidth="1"/>
    <col min="11781" max="11781" width="10.28515625" style="601" customWidth="1"/>
    <col min="11782" max="11782" width="11.140625" style="601" customWidth="1"/>
    <col min="11783" max="11783" width="11.7109375" style="601" customWidth="1"/>
    <col min="11784" max="11784" width="9.140625" style="601" customWidth="1"/>
    <col min="11785" max="11785" width="9" style="601" customWidth="1"/>
    <col min="11786" max="11786" width="13.42578125" style="601" customWidth="1"/>
    <col min="11787" max="11787" width="8.140625" style="601" customWidth="1"/>
    <col min="11788" max="11789" width="9.42578125" style="601" customWidth="1"/>
    <col min="11790" max="12032" width="9.140625" style="601"/>
    <col min="12033" max="12033" width="64.85546875" style="601" customWidth="1"/>
    <col min="12034" max="12036" width="11.28515625" style="601" customWidth="1"/>
    <col min="12037" max="12037" width="10.28515625" style="601" customWidth="1"/>
    <col min="12038" max="12038" width="11.140625" style="601" customWidth="1"/>
    <col min="12039" max="12039" width="11.7109375" style="601" customWidth="1"/>
    <col min="12040" max="12040" width="9.140625" style="601" customWidth="1"/>
    <col min="12041" max="12041" width="9" style="601" customWidth="1"/>
    <col min="12042" max="12042" width="13.42578125" style="601" customWidth="1"/>
    <col min="12043" max="12043" width="8.140625" style="601" customWidth="1"/>
    <col min="12044" max="12045" width="9.42578125" style="601" customWidth="1"/>
    <col min="12046" max="12288" width="9.140625" style="601"/>
    <col min="12289" max="12289" width="64.85546875" style="601" customWidth="1"/>
    <col min="12290" max="12292" width="11.28515625" style="601" customWidth="1"/>
    <col min="12293" max="12293" width="10.28515625" style="601" customWidth="1"/>
    <col min="12294" max="12294" width="11.140625" style="601" customWidth="1"/>
    <col min="12295" max="12295" width="11.7109375" style="601" customWidth="1"/>
    <col min="12296" max="12296" width="9.140625" style="601" customWidth="1"/>
    <col min="12297" max="12297" width="9" style="601" customWidth="1"/>
    <col min="12298" max="12298" width="13.42578125" style="601" customWidth="1"/>
    <col min="12299" max="12299" width="8.140625" style="601" customWidth="1"/>
    <col min="12300" max="12301" width="9.42578125" style="601" customWidth="1"/>
    <col min="12302" max="12544" width="9.140625" style="601"/>
    <col min="12545" max="12545" width="64.85546875" style="601" customWidth="1"/>
    <col min="12546" max="12548" width="11.28515625" style="601" customWidth="1"/>
    <col min="12549" max="12549" width="10.28515625" style="601" customWidth="1"/>
    <col min="12550" max="12550" width="11.140625" style="601" customWidth="1"/>
    <col min="12551" max="12551" width="11.7109375" style="601" customWidth="1"/>
    <col min="12552" max="12552" width="9.140625" style="601" customWidth="1"/>
    <col min="12553" max="12553" width="9" style="601" customWidth="1"/>
    <col min="12554" max="12554" width="13.42578125" style="601" customWidth="1"/>
    <col min="12555" max="12555" width="8.140625" style="601" customWidth="1"/>
    <col min="12556" max="12557" width="9.42578125" style="601" customWidth="1"/>
    <col min="12558" max="12800" width="9.140625" style="601"/>
    <col min="12801" max="12801" width="64.85546875" style="601" customWidth="1"/>
    <col min="12802" max="12804" width="11.28515625" style="601" customWidth="1"/>
    <col min="12805" max="12805" width="10.28515625" style="601" customWidth="1"/>
    <col min="12806" max="12806" width="11.140625" style="601" customWidth="1"/>
    <col min="12807" max="12807" width="11.7109375" style="601" customWidth="1"/>
    <col min="12808" max="12808" width="9.140625" style="601" customWidth="1"/>
    <col min="12809" max="12809" width="9" style="601" customWidth="1"/>
    <col min="12810" max="12810" width="13.42578125" style="601" customWidth="1"/>
    <col min="12811" max="12811" width="8.140625" style="601" customWidth="1"/>
    <col min="12812" max="12813" width="9.42578125" style="601" customWidth="1"/>
    <col min="12814" max="13056" width="9.140625" style="601"/>
    <col min="13057" max="13057" width="64.85546875" style="601" customWidth="1"/>
    <col min="13058" max="13060" width="11.28515625" style="601" customWidth="1"/>
    <col min="13061" max="13061" width="10.28515625" style="601" customWidth="1"/>
    <col min="13062" max="13062" width="11.140625" style="601" customWidth="1"/>
    <col min="13063" max="13063" width="11.7109375" style="601" customWidth="1"/>
    <col min="13064" max="13064" width="9.140625" style="601" customWidth="1"/>
    <col min="13065" max="13065" width="9" style="601" customWidth="1"/>
    <col min="13066" max="13066" width="13.42578125" style="601" customWidth="1"/>
    <col min="13067" max="13067" width="8.140625" style="601" customWidth="1"/>
    <col min="13068" max="13069" width="9.42578125" style="601" customWidth="1"/>
    <col min="13070" max="13312" width="9.140625" style="601"/>
    <col min="13313" max="13313" width="64.85546875" style="601" customWidth="1"/>
    <col min="13314" max="13316" width="11.28515625" style="601" customWidth="1"/>
    <col min="13317" max="13317" width="10.28515625" style="601" customWidth="1"/>
    <col min="13318" max="13318" width="11.140625" style="601" customWidth="1"/>
    <col min="13319" max="13319" width="11.7109375" style="601" customWidth="1"/>
    <col min="13320" max="13320" width="9.140625" style="601" customWidth="1"/>
    <col min="13321" max="13321" width="9" style="601" customWidth="1"/>
    <col min="13322" max="13322" width="13.42578125" style="601" customWidth="1"/>
    <col min="13323" max="13323" width="8.140625" style="601" customWidth="1"/>
    <col min="13324" max="13325" width="9.42578125" style="601" customWidth="1"/>
    <col min="13326" max="13568" width="9.140625" style="601"/>
    <col min="13569" max="13569" width="64.85546875" style="601" customWidth="1"/>
    <col min="13570" max="13572" width="11.28515625" style="601" customWidth="1"/>
    <col min="13573" max="13573" width="10.28515625" style="601" customWidth="1"/>
    <col min="13574" max="13574" width="11.140625" style="601" customWidth="1"/>
    <col min="13575" max="13575" width="11.7109375" style="601" customWidth="1"/>
    <col min="13576" max="13576" width="9.140625" style="601" customWidth="1"/>
    <col min="13577" max="13577" width="9" style="601" customWidth="1"/>
    <col min="13578" max="13578" width="13.42578125" style="601" customWidth="1"/>
    <col min="13579" max="13579" width="8.140625" style="601" customWidth="1"/>
    <col min="13580" max="13581" width="9.42578125" style="601" customWidth="1"/>
    <col min="13582" max="13824" width="9.140625" style="601"/>
    <col min="13825" max="13825" width="64.85546875" style="601" customWidth="1"/>
    <col min="13826" max="13828" width="11.28515625" style="601" customWidth="1"/>
    <col min="13829" max="13829" width="10.28515625" style="601" customWidth="1"/>
    <col min="13830" max="13830" width="11.140625" style="601" customWidth="1"/>
    <col min="13831" max="13831" width="11.7109375" style="601" customWidth="1"/>
    <col min="13832" max="13832" width="9.140625" style="601" customWidth="1"/>
    <col min="13833" max="13833" width="9" style="601" customWidth="1"/>
    <col min="13834" max="13834" width="13.42578125" style="601" customWidth="1"/>
    <col min="13835" max="13835" width="8.140625" style="601" customWidth="1"/>
    <col min="13836" max="13837" width="9.42578125" style="601" customWidth="1"/>
    <col min="13838" max="14080" width="9.140625" style="601"/>
    <col min="14081" max="14081" width="64.85546875" style="601" customWidth="1"/>
    <col min="14082" max="14084" width="11.28515625" style="601" customWidth="1"/>
    <col min="14085" max="14085" width="10.28515625" style="601" customWidth="1"/>
    <col min="14086" max="14086" width="11.140625" style="601" customWidth="1"/>
    <col min="14087" max="14087" width="11.7109375" style="601" customWidth="1"/>
    <col min="14088" max="14088" width="9.140625" style="601" customWidth="1"/>
    <col min="14089" max="14089" width="9" style="601" customWidth="1"/>
    <col min="14090" max="14090" width="13.42578125" style="601" customWidth="1"/>
    <col min="14091" max="14091" width="8.140625" style="601" customWidth="1"/>
    <col min="14092" max="14093" width="9.42578125" style="601" customWidth="1"/>
    <col min="14094" max="14336" width="9.140625" style="601"/>
    <col min="14337" max="14337" width="64.85546875" style="601" customWidth="1"/>
    <col min="14338" max="14340" width="11.28515625" style="601" customWidth="1"/>
    <col min="14341" max="14341" width="10.28515625" style="601" customWidth="1"/>
    <col min="14342" max="14342" width="11.140625" style="601" customWidth="1"/>
    <col min="14343" max="14343" width="11.7109375" style="601" customWidth="1"/>
    <col min="14344" max="14344" width="9.140625" style="601" customWidth="1"/>
    <col min="14345" max="14345" width="9" style="601" customWidth="1"/>
    <col min="14346" max="14346" width="13.42578125" style="601" customWidth="1"/>
    <col min="14347" max="14347" width="8.140625" style="601" customWidth="1"/>
    <col min="14348" max="14349" width="9.42578125" style="601" customWidth="1"/>
    <col min="14350" max="14592" width="9.140625" style="601"/>
    <col min="14593" max="14593" width="64.85546875" style="601" customWidth="1"/>
    <col min="14594" max="14596" width="11.28515625" style="601" customWidth="1"/>
    <col min="14597" max="14597" width="10.28515625" style="601" customWidth="1"/>
    <col min="14598" max="14598" width="11.140625" style="601" customWidth="1"/>
    <col min="14599" max="14599" width="11.7109375" style="601" customWidth="1"/>
    <col min="14600" max="14600" width="9.140625" style="601" customWidth="1"/>
    <col min="14601" max="14601" width="9" style="601" customWidth="1"/>
    <col min="14602" max="14602" width="13.42578125" style="601" customWidth="1"/>
    <col min="14603" max="14603" width="8.140625" style="601" customWidth="1"/>
    <col min="14604" max="14605" width="9.42578125" style="601" customWidth="1"/>
    <col min="14606" max="14848" width="9.140625" style="601"/>
    <col min="14849" max="14849" width="64.85546875" style="601" customWidth="1"/>
    <col min="14850" max="14852" width="11.28515625" style="601" customWidth="1"/>
    <col min="14853" max="14853" width="10.28515625" style="601" customWidth="1"/>
    <col min="14854" max="14854" width="11.140625" style="601" customWidth="1"/>
    <col min="14855" max="14855" width="11.7109375" style="601" customWidth="1"/>
    <col min="14856" max="14856" width="9.140625" style="601" customWidth="1"/>
    <col min="14857" max="14857" width="9" style="601" customWidth="1"/>
    <col min="14858" max="14858" width="13.42578125" style="601" customWidth="1"/>
    <col min="14859" max="14859" width="8.140625" style="601" customWidth="1"/>
    <col min="14860" max="14861" width="9.42578125" style="601" customWidth="1"/>
    <col min="14862" max="15104" width="9.140625" style="601"/>
    <col min="15105" max="15105" width="64.85546875" style="601" customWidth="1"/>
    <col min="15106" max="15108" width="11.28515625" style="601" customWidth="1"/>
    <col min="15109" max="15109" width="10.28515625" style="601" customWidth="1"/>
    <col min="15110" max="15110" width="11.140625" style="601" customWidth="1"/>
    <col min="15111" max="15111" width="11.7109375" style="601" customWidth="1"/>
    <col min="15112" max="15112" width="9.140625" style="601" customWidth="1"/>
    <col min="15113" max="15113" width="9" style="601" customWidth="1"/>
    <col min="15114" max="15114" width="13.42578125" style="601" customWidth="1"/>
    <col min="15115" max="15115" width="8.140625" style="601" customWidth="1"/>
    <col min="15116" max="15117" width="9.42578125" style="601" customWidth="1"/>
    <col min="15118" max="15360" width="9.140625" style="601"/>
    <col min="15361" max="15361" width="64.85546875" style="601" customWidth="1"/>
    <col min="15362" max="15364" width="11.28515625" style="601" customWidth="1"/>
    <col min="15365" max="15365" width="10.28515625" style="601" customWidth="1"/>
    <col min="15366" max="15366" width="11.140625" style="601" customWidth="1"/>
    <col min="15367" max="15367" width="11.7109375" style="601" customWidth="1"/>
    <col min="15368" max="15368" width="9.140625" style="601" customWidth="1"/>
    <col min="15369" max="15369" width="9" style="601" customWidth="1"/>
    <col min="15370" max="15370" width="13.42578125" style="601" customWidth="1"/>
    <col min="15371" max="15371" width="8.140625" style="601" customWidth="1"/>
    <col min="15372" max="15373" width="9.42578125" style="601" customWidth="1"/>
    <col min="15374" max="15616" width="9.140625" style="601"/>
    <col min="15617" max="15617" width="64.85546875" style="601" customWidth="1"/>
    <col min="15618" max="15620" width="11.28515625" style="601" customWidth="1"/>
    <col min="15621" max="15621" width="10.28515625" style="601" customWidth="1"/>
    <col min="15622" max="15622" width="11.140625" style="601" customWidth="1"/>
    <col min="15623" max="15623" width="11.7109375" style="601" customWidth="1"/>
    <col min="15624" max="15624" width="9.140625" style="601" customWidth="1"/>
    <col min="15625" max="15625" width="9" style="601" customWidth="1"/>
    <col min="15626" max="15626" width="13.42578125" style="601" customWidth="1"/>
    <col min="15627" max="15627" width="8.140625" style="601" customWidth="1"/>
    <col min="15628" max="15629" width="9.42578125" style="601" customWidth="1"/>
    <col min="15630" max="15872" width="9.140625" style="601"/>
    <col min="15873" max="15873" width="64.85546875" style="601" customWidth="1"/>
    <col min="15874" max="15876" width="11.28515625" style="601" customWidth="1"/>
    <col min="15877" max="15877" width="10.28515625" style="601" customWidth="1"/>
    <col min="15878" max="15878" width="11.140625" style="601" customWidth="1"/>
    <col min="15879" max="15879" width="11.7109375" style="601" customWidth="1"/>
    <col min="15880" max="15880" width="9.140625" style="601" customWidth="1"/>
    <col min="15881" max="15881" width="9" style="601" customWidth="1"/>
    <col min="15882" max="15882" width="13.42578125" style="601" customWidth="1"/>
    <col min="15883" max="15883" width="8.140625" style="601" customWidth="1"/>
    <col min="15884" max="15885" width="9.42578125" style="601" customWidth="1"/>
    <col min="15886" max="16128" width="9.140625" style="601"/>
    <col min="16129" max="16129" width="64.85546875" style="601" customWidth="1"/>
    <col min="16130" max="16132" width="11.28515625" style="601" customWidth="1"/>
    <col min="16133" max="16133" width="10.28515625" style="601" customWidth="1"/>
    <col min="16134" max="16134" width="11.140625" style="601" customWidth="1"/>
    <col min="16135" max="16135" width="11.7109375" style="601" customWidth="1"/>
    <col min="16136" max="16136" width="9.140625" style="601" customWidth="1"/>
    <col min="16137" max="16137" width="9" style="601" customWidth="1"/>
    <col min="16138" max="16138" width="13.42578125" style="601" customWidth="1"/>
    <col min="16139" max="16139" width="8.140625" style="601" customWidth="1"/>
    <col min="16140" max="16141" width="9.42578125" style="601" customWidth="1"/>
    <col min="16142" max="16384" width="9.140625" style="601"/>
  </cols>
  <sheetData>
    <row r="1" spans="1:20" ht="12.75">
      <c r="A1" s="187" t="s">
        <v>306</v>
      </c>
      <c r="R1" s="642" t="s">
        <v>304</v>
      </c>
    </row>
    <row r="2" spans="1:20" ht="11.25">
      <c r="A2" s="603" t="s">
        <v>320</v>
      </c>
      <c r="B2" s="603"/>
      <c r="C2" s="603"/>
      <c r="D2" s="604"/>
      <c r="E2" s="603"/>
      <c r="F2" s="603"/>
      <c r="G2" s="603"/>
      <c r="H2" s="603"/>
      <c r="I2" s="603"/>
      <c r="J2" s="603"/>
      <c r="K2" s="603"/>
      <c r="L2" s="603"/>
      <c r="M2" s="603"/>
    </row>
    <row r="3" spans="1:20" ht="11.25">
      <c r="A3" s="605"/>
      <c r="B3" s="605"/>
      <c r="C3" s="605"/>
      <c r="D3" s="606"/>
      <c r="E3" s="605"/>
      <c r="F3" s="605"/>
      <c r="G3" s="605"/>
      <c r="H3" s="605"/>
      <c r="I3" s="605"/>
      <c r="J3" s="605"/>
      <c r="K3" s="605"/>
      <c r="L3" s="605"/>
      <c r="M3" s="605"/>
    </row>
    <row r="4" spans="1:20" s="624" customFormat="1" ht="45">
      <c r="A4" s="621" t="s">
        <v>255</v>
      </c>
      <c r="B4" s="622" t="s">
        <v>0</v>
      </c>
      <c r="C4" s="622" t="s">
        <v>1</v>
      </c>
      <c r="D4" s="622" t="s">
        <v>224</v>
      </c>
      <c r="E4" s="622" t="s">
        <v>2</v>
      </c>
      <c r="F4" s="622" t="s">
        <v>3</v>
      </c>
      <c r="G4" s="622" t="s">
        <v>4</v>
      </c>
      <c r="H4" s="622" t="s">
        <v>5</v>
      </c>
      <c r="I4" s="622" t="s">
        <v>6</v>
      </c>
      <c r="J4" s="622" t="s">
        <v>7</v>
      </c>
      <c r="K4" s="622" t="s">
        <v>8</v>
      </c>
      <c r="L4" s="622" t="s">
        <v>9</v>
      </c>
      <c r="M4" s="623" t="s">
        <v>10</v>
      </c>
      <c r="N4" s="625" t="s">
        <v>86</v>
      </c>
      <c r="O4" s="625" t="s">
        <v>87</v>
      </c>
      <c r="P4" s="625" t="s">
        <v>88</v>
      </c>
      <c r="Q4" s="626" t="s">
        <v>89</v>
      </c>
      <c r="R4" s="625" t="s">
        <v>90</v>
      </c>
      <c r="S4" s="627" t="s">
        <v>317</v>
      </c>
      <c r="T4" s="627" t="s">
        <v>318</v>
      </c>
    </row>
    <row r="5" spans="1:20" s="607" customFormat="1" ht="11.25">
      <c r="A5" s="608" t="s">
        <v>62</v>
      </c>
      <c r="B5" s="609">
        <v>233</v>
      </c>
      <c r="C5" s="609">
        <v>0</v>
      </c>
      <c r="D5" s="610">
        <v>0</v>
      </c>
      <c r="E5" s="609">
        <v>21</v>
      </c>
      <c r="F5" s="609">
        <v>1952</v>
      </c>
      <c r="G5" s="609">
        <v>598</v>
      </c>
      <c r="H5" s="609">
        <v>20984</v>
      </c>
      <c r="I5" s="609">
        <v>24</v>
      </c>
      <c r="J5" s="609">
        <v>161</v>
      </c>
      <c r="K5" s="609">
        <v>0</v>
      </c>
      <c r="L5" s="609">
        <v>485</v>
      </c>
      <c r="M5" s="611">
        <v>24458</v>
      </c>
      <c r="N5" s="559">
        <f>SUM(B5,E5)</f>
        <v>254</v>
      </c>
      <c r="O5" s="559">
        <f>SUM(C5,D5,G5,F5)</f>
        <v>2550</v>
      </c>
      <c r="P5" s="559">
        <f>SUM(H5:L5)</f>
        <v>21654</v>
      </c>
      <c r="Q5" s="594">
        <f>(10*N5)+(3*O5)+P5</f>
        <v>31844</v>
      </c>
      <c r="R5" s="560">
        <f>SUM(Q5/($Q$45+$Q$57))</f>
        <v>1.6056578210269373E-2</v>
      </c>
      <c r="S5" s="559">
        <f>SUM(N5:P5)</f>
        <v>24458</v>
      </c>
      <c r="T5" s="559">
        <f>S5-M5</f>
        <v>0</v>
      </c>
    </row>
    <row r="6" spans="1:20" s="607" customFormat="1" ht="11.25">
      <c r="A6" s="608" t="s">
        <v>84</v>
      </c>
      <c r="B6" s="609">
        <v>1983</v>
      </c>
      <c r="C6" s="609">
        <v>0</v>
      </c>
      <c r="D6" s="610">
        <v>0</v>
      </c>
      <c r="E6" s="609">
        <v>83</v>
      </c>
      <c r="F6" s="609">
        <v>4297</v>
      </c>
      <c r="G6" s="609">
        <v>1087</v>
      </c>
      <c r="H6" s="609">
        <v>9231</v>
      </c>
      <c r="I6" s="609">
        <v>34</v>
      </c>
      <c r="J6" s="609">
        <v>123</v>
      </c>
      <c r="K6" s="609">
        <v>5</v>
      </c>
      <c r="L6" s="609">
        <v>64</v>
      </c>
      <c r="M6" s="611">
        <v>16908</v>
      </c>
      <c r="N6" s="559">
        <f t="shared" ref="N6:N43" si="0">SUM(B6,E6)</f>
        <v>2066</v>
      </c>
      <c r="O6" s="559">
        <f t="shared" ref="O6:O43" si="1">SUM(C6,D6,G6,F6)</f>
        <v>5384</v>
      </c>
      <c r="P6" s="559">
        <f t="shared" ref="P6:P43" si="2">SUM(H6:L6)</f>
        <v>9457</v>
      </c>
      <c r="Q6" s="594">
        <f t="shared" ref="Q6:Q42" si="3">(10*N6)+(3*O6)+P6</f>
        <v>46269</v>
      </c>
      <c r="R6" s="560">
        <f t="shared" ref="R6:R42" si="4">SUM(Q6/($Q$45+$Q$57))</f>
        <v>2.3330040736432408E-2</v>
      </c>
      <c r="S6" s="559">
        <f t="shared" ref="S6:S42" si="5">SUM(N6:P6)</f>
        <v>16907</v>
      </c>
      <c r="T6" s="559">
        <f t="shared" ref="T6:T43" si="6">S6-M6</f>
        <v>-1</v>
      </c>
    </row>
    <row r="7" spans="1:20" s="607" customFormat="1" ht="11.25">
      <c r="A7" s="608" t="s">
        <v>35</v>
      </c>
      <c r="B7" s="609">
        <v>118</v>
      </c>
      <c r="C7" s="609">
        <v>0</v>
      </c>
      <c r="D7" s="610">
        <v>346</v>
      </c>
      <c r="E7" s="609">
        <v>34</v>
      </c>
      <c r="F7" s="609">
        <v>1415</v>
      </c>
      <c r="G7" s="609">
        <v>217</v>
      </c>
      <c r="H7" s="609">
        <v>2795</v>
      </c>
      <c r="I7" s="609">
        <v>5</v>
      </c>
      <c r="J7" s="609">
        <v>151</v>
      </c>
      <c r="K7" s="609">
        <v>70</v>
      </c>
      <c r="L7" s="609">
        <v>492</v>
      </c>
      <c r="M7" s="611">
        <v>5645</v>
      </c>
      <c r="N7" s="559">
        <f t="shared" si="0"/>
        <v>152</v>
      </c>
      <c r="O7" s="559">
        <f t="shared" si="1"/>
        <v>1978</v>
      </c>
      <c r="P7" s="559">
        <f t="shared" si="2"/>
        <v>3513</v>
      </c>
      <c r="Q7" s="594">
        <f t="shared" si="3"/>
        <v>10967</v>
      </c>
      <c r="R7" s="560">
        <f t="shared" si="4"/>
        <v>5.529848424570538E-3</v>
      </c>
      <c r="S7" s="559">
        <f t="shared" si="5"/>
        <v>5643</v>
      </c>
      <c r="T7" s="559">
        <f t="shared" si="6"/>
        <v>-2</v>
      </c>
    </row>
    <row r="8" spans="1:20" s="607" customFormat="1" ht="11.25">
      <c r="A8" s="612" t="s">
        <v>330</v>
      </c>
      <c r="B8" s="609">
        <v>193</v>
      </c>
      <c r="C8" s="609">
        <v>3</v>
      </c>
      <c r="D8" s="610">
        <v>0</v>
      </c>
      <c r="E8" s="609">
        <v>33</v>
      </c>
      <c r="F8" s="609">
        <v>949</v>
      </c>
      <c r="G8" s="609">
        <v>182</v>
      </c>
      <c r="H8" s="609">
        <v>4526</v>
      </c>
      <c r="I8" s="609">
        <v>35</v>
      </c>
      <c r="J8" s="609">
        <v>93</v>
      </c>
      <c r="K8" s="609">
        <v>552</v>
      </c>
      <c r="L8" s="609">
        <v>8</v>
      </c>
      <c r="M8" s="611">
        <v>6573</v>
      </c>
      <c r="N8" s="559">
        <f t="shared" si="0"/>
        <v>226</v>
      </c>
      <c r="O8" s="559">
        <f t="shared" si="1"/>
        <v>1134</v>
      </c>
      <c r="P8" s="559">
        <f t="shared" si="2"/>
        <v>5214</v>
      </c>
      <c r="Q8" s="594">
        <f t="shared" si="3"/>
        <v>10876</v>
      </c>
      <c r="R8" s="560">
        <f t="shared" si="4"/>
        <v>5.4839638429496828E-3</v>
      </c>
      <c r="S8" s="559">
        <f t="shared" si="5"/>
        <v>6574</v>
      </c>
      <c r="T8" s="559">
        <f t="shared" si="6"/>
        <v>1</v>
      </c>
    </row>
    <row r="9" spans="1:20" s="607" customFormat="1" ht="11.25">
      <c r="A9" s="608" t="s">
        <v>14</v>
      </c>
      <c r="B9" s="609">
        <v>347</v>
      </c>
      <c r="C9" s="609">
        <v>6</v>
      </c>
      <c r="D9" s="610">
        <v>0</v>
      </c>
      <c r="E9" s="609">
        <v>16</v>
      </c>
      <c r="F9" s="609">
        <v>5156</v>
      </c>
      <c r="G9" s="609">
        <v>1134</v>
      </c>
      <c r="H9" s="609">
        <v>14134</v>
      </c>
      <c r="I9" s="609">
        <v>918</v>
      </c>
      <c r="J9" s="609">
        <v>144</v>
      </c>
      <c r="K9" s="609">
        <v>560</v>
      </c>
      <c r="L9" s="609">
        <v>143</v>
      </c>
      <c r="M9" s="611">
        <v>22557</v>
      </c>
      <c r="N9" s="559">
        <f t="shared" si="0"/>
        <v>363</v>
      </c>
      <c r="O9" s="559">
        <f t="shared" si="1"/>
        <v>6296</v>
      </c>
      <c r="P9" s="559">
        <f t="shared" si="2"/>
        <v>15899</v>
      </c>
      <c r="Q9" s="594">
        <f t="shared" si="3"/>
        <v>38417</v>
      </c>
      <c r="R9" s="560">
        <f t="shared" si="4"/>
        <v>1.9370856836575759E-2</v>
      </c>
      <c r="S9" s="559">
        <f t="shared" si="5"/>
        <v>22558</v>
      </c>
      <c r="T9" s="559">
        <f t="shared" si="6"/>
        <v>1</v>
      </c>
    </row>
    <row r="10" spans="1:20" s="607" customFormat="1" ht="11.25">
      <c r="A10" s="608" t="s">
        <v>323</v>
      </c>
      <c r="B10" s="609">
        <v>172</v>
      </c>
      <c r="C10" s="609">
        <v>0</v>
      </c>
      <c r="D10" s="610">
        <v>0</v>
      </c>
      <c r="E10" s="609">
        <v>46</v>
      </c>
      <c r="F10" s="609">
        <v>3179</v>
      </c>
      <c r="G10" s="609">
        <v>402</v>
      </c>
      <c r="H10" s="609">
        <v>8771</v>
      </c>
      <c r="I10" s="609">
        <v>122</v>
      </c>
      <c r="J10" s="609">
        <v>109</v>
      </c>
      <c r="K10" s="609">
        <v>903</v>
      </c>
      <c r="L10" s="609">
        <v>71</v>
      </c>
      <c r="M10" s="611">
        <v>13774</v>
      </c>
      <c r="N10" s="559">
        <f t="shared" si="0"/>
        <v>218</v>
      </c>
      <c r="O10" s="559">
        <f t="shared" si="1"/>
        <v>3581</v>
      </c>
      <c r="P10" s="559">
        <f t="shared" si="2"/>
        <v>9976</v>
      </c>
      <c r="Q10" s="594">
        <f t="shared" si="3"/>
        <v>22899</v>
      </c>
      <c r="R10" s="560">
        <f t="shared" si="4"/>
        <v>1.1546275104790804E-2</v>
      </c>
      <c r="S10" s="559">
        <f t="shared" si="5"/>
        <v>13775</v>
      </c>
      <c r="T10" s="559">
        <f t="shared" si="6"/>
        <v>1</v>
      </c>
    </row>
    <row r="11" spans="1:20" s="607" customFormat="1" ht="11.25">
      <c r="A11" s="608" t="s">
        <v>44</v>
      </c>
      <c r="B11" s="609">
        <v>1387</v>
      </c>
      <c r="C11" s="609">
        <v>2</v>
      </c>
      <c r="D11" s="610">
        <v>0</v>
      </c>
      <c r="E11" s="609">
        <v>172</v>
      </c>
      <c r="F11" s="609">
        <v>3075</v>
      </c>
      <c r="G11" s="609">
        <v>779</v>
      </c>
      <c r="H11" s="609">
        <v>28095</v>
      </c>
      <c r="I11" s="609">
        <v>10</v>
      </c>
      <c r="J11" s="609">
        <v>92</v>
      </c>
      <c r="K11" s="609">
        <v>1200</v>
      </c>
      <c r="L11" s="609">
        <v>192</v>
      </c>
      <c r="M11" s="611">
        <v>35002</v>
      </c>
      <c r="N11" s="559">
        <f t="shared" si="0"/>
        <v>1559</v>
      </c>
      <c r="O11" s="559">
        <f t="shared" si="1"/>
        <v>3856</v>
      </c>
      <c r="P11" s="559">
        <f t="shared" si="2"/>
        <v>29589</v>
      </c>
      <c r="Q11" s="594">
        <f t="shared" si="3"/>
        <v>56747</v>
      </c>
      <c r="R11" s="560">
        <f t="shared" si="4"/>
        <v>2.8613322563062305E-2</v>
      </c>
      <c r="S11" s="559">
        <f t="shared" si="5"/>
        <v>35004</v>
      </c>
      <c r="T11" s="559">
        <f t="shared" si="6"/>
        <v>2</v>
      </c>
    </row>
    <row r="12" spans="1:20" s="607" customFormat="1" ht="11.25">
      <c r="A12" s="608" t="s">
        <v>63</v>
      </c>
      <c r="B12" s="609">
        <v>1062</v>
      </c>
      <c r="C12" s="609">
        <v>8</v>
      </c>
      <c r="D12" s="610">
        <v>0</v>
      </c>
      <c r="E12" s="609">
        <v>59</v>
      </c>
      <c r="F12" s="609">
        <v>5782</v>
      </c>
      <c r="G12" s="609">
        <v>915</v>
      </c>
      <c r="H12" s="609">
        <v>29286</v>
      </c>
      <c r="I12" s="609">
        <v>286</v>
      </c>
      <c r="J12" s="609">
        <v>78</v>
      </c>
      <c r="K12" s="609">
        <v>0</v>
      </c>
      <c r="L12" s="609">
        <v>189</v>
      </c>
      <c r="M12" s="611">
        <v>37665</v>
      </c>
      <c r="N12" s="559">
        <f t="shared" si="0"/>
        <v>1121</v>
      </c>
      <c r="O12" s="559">
        <f t="shared" si="1"/>
        <v>6705</v>
      </c>
      <c r="P12" s="559">
        <f t="shared" si="2"/>
        <v>29839</v>
      </c>
      <c r="Q12" s="594">
        <f t="shared" si="3"/>
        <v>61164</v>
      </c>
      <c r="R12" s="560">
        <f t="shared" si="4"/>
        <v>3.0840489563274585E-2</v>
      </c>
      <c r="S12" s="559">
        <f t="shared" si="5"/>
        <v>37665</v>
      </c>
      <c r="T12" s="559">
        <f t="shared" si="6"/>
        <v>0</v>
      </c>
    </row>
    <row r="13" spans="1:20" s="607" customFormat="1" ht="11.25">
      <c r="A13" s="608" t="s">
        <v>45</v>
      </c>
      <c r="B13" s="609">
        <v>361</v>
      </c>
      <c r="C13" s="609">
        <v>2</v>
      </c>
      <c r="D13" s="610">
        <v>0</v>
      </c>
      <c r="E13" s="609">
        <v>94</v>
      </c>
      <c r="F13" s="609">
        <v>2435</v>
      </c>
      <c r="G13" s="609">
        <v>1101</v>
      </c>
      <c r="H13" s="609">
        <v>13306</v>
      </c>
      <c r="I13" s="609">
        <v>17</v>
      </c>
      <c r="J13" s="609">
        <v>21</v>
      </c>
      <c r="K13" s="609">
        <v>919</v>
      </c>
      <c r="L13" s="609">
        <v>12</v>
      </c>
      <c r="M13" s="611">
        <v>18267</v>
      </c>
      <c r="N13" s="559">
        <f t="shared" si="0"/>
        <v>455</v>
      </c>
      <c r="O13" s="559">
        <f t="shared" si="1"/>
        <v>3538</v>
      </c>
      <c r="P13" s="559">
        <f t="shared" si="2"/>
        <v>14275</v>
      </c>
      <c r="Q13" s="594">
        <f t="shared" si="3"/>
        <v>29439</v>
      </c>
      <c r="R13" s="560">
        <f t="shared" si="4"/>
        <v>1.4843914267432486E-2</v>
      </c>
      <c r="S13" s="559">
        <f t="shared" si="5"/>
        <v>18268</v>
      </c>
      <c r="T13" s="559">
        <f t="shared" si="6"/>
        <v>1</v>
      </c>
    </row>
    <row r="14" spans="1:20" s="607" customFormat="1" ht="11.25">
      <c r="A14" s="608" t="s">
        <v>329</v>
      </c>
      <c r="B14" s="609">
        <v>183</v>
      </c>
      <c r="C14" s="609">
        <v>7</v>
      </c>
      <c r="D14" s="610">
        <v>0</v>
      </c>
      <c r="E14" s="609">
        <v>26</v>
      </c>
      <c r="F14" s="609">
        <v>2138</v>
      </c>
      <c r="G14" s="609">
        <v>220</v>
      </c>
      <c r="H14" s="609">
        <v>6723</v>
      </c>
      <c r="I14" s="609">
        <v>4</v>
      </c>
      <c r="J14" s="609">
        <v>242</v>
      </c>
      <c r="K14" s="609">
        <v>134</v>
      </c>
      <c r="L14" s="609">
        <v>40</v>
      </c>
      <c r="M14" s="611">
        <v>9717</v>
      </c>
      <c r="N14" s="559">
        <f t="shared" si="0"/>
        <v>209</v>
      </c>
      <c r="O14" s="559">
        <f t="shared" si="1"/>
        <v>2365</v>
      </c>
      <c r="P14" s="559">
        <f t="shared" si="2"/>
        <v>7143</v>
      </c>
      <c r="Q14" s="594">
        <f t="shared" si="3"/>
        <v>16328</v>
      </c>
      <c r="R14" s="560">
        <f t="shared" si="4"/>
        <v>8.233004930827733E-3</v>
      </c>
      <c r="S14" s="559">
        <f t="shared" si="5"/>
        <v>9717</v>
      </c>
      <c r="T14" s="559">
        <f t="shared" si="6"/>
        <v>0</v>
      </c>
    </row>
    <row r="15" spans="1:20" s="607" customFormat="1" ht="11.25">
      <c r="A15" s="608" t="s">
        <v>324</v>
      </c>
      <c r="B15" s="609">
        <v>726</v>
      </c>
      <c r="C15" s="609">
        <v>7</v>
      </c>
      <c r="D15" s="610">
        <v>646</v>
      </c>
      <c r="E15" s="609">
        <v>46</v>
      </c>
      <c r="F15" s="609">
        <v>2708</v>
      </c>
      <c r="G15" s="609">
        <v>652</v>
      </c>
      <c r="H15" s="609">
        <v>11837</v>
      </c>
      <c r="I15" s="609">
        <v>0</v>
      </c>
      <c r="J15" s="609">
        <v>48</v>
      </c>
      <c r="K15" s="609">
        <v>364</v>
      </c>
      <c r="L15" s="609">
        <v>22</v>
      </c>
      <c r="M15" s="611">
        <v>17056</v>
      </c>
      <c r="N15" s="559">
        <f t="shared" si="0"/>
        <v>772</v>
      </c>
      <c r="O15" s="559">
        <f t="shared" si="1"/>
        <v>4013</v>
      </c>
      <c r="P15" s="559">
        <f t="shared" si="2"/>
        <v>12271</v>
      </c>
      <c r="Q15" s="594">
        <f t="shared" si="3"/>
        <v>32030</v>
      </c>
      <c r="R15" s="560">
        <f t="shared" si="4"/>
        <v>1.6150364278197715E-2</v>
      </c>
      <c r="S15" s="559">
        <f t="shared" si="5"/>
        <v>17056</v>
      </c>
      <c r="T15" s="559">
        <f t="shared" si="6"/>
        <v>0</v>
      </c>
    </row>
    <row r="16" spans="1:20" s="607" customFormat="1" ht="11.25">
      <c r="A16" s="608" t="s">
        <v>37</v>
      </c>
      <c r="B16" s="609">
        <v>1448</v>
      </c>
      <c r="C16" s="609">
        <v>3</v>
      </c>
      <c r="D16" s="610">
        <v>630</v>
      </c>
      <c r="E16" s="609">
        <v>120</v>
      </c>
      <c r="F16" s="609">
        <v>2962</v>
      </c>
      <c r="G16" s="609">
        <v>1272</v>
      </c>
      <c r="H16" s="609">
        <v>26435</v>
      </c>
      <c r="I16" s="609">
        <v>0</v>
      </c>
      <c r="J16" s="609">
        <v>314</v>
      </c>
      <c r="K16" s="609">
        <v>46</v>
      </c>
      <c r="L16" s="609">
        <v>495</v>
      </c>
      <c r="M16" s="611">
        <v>33723</v>
      </c>
      <c r="N16" s="559">
        <f t="shared" si="0"/>
        <v>1568</v>
      </c>
      <c r="O16" s="559">
        <f t="shared" si="1"/>
        <v>4867</v>
      </c>
      <c r="P16" s="559">
        <f t="shared" si="2"/>
        <v>27290</v>
      </c>
      <c r="Q16" s="594">
        <f t="shared" si="3"/>
        <v>57571</v>
      </c>
      <c r="R16" s="560">
        <f t="shared" si="4"/>
        <v>2.9028804928508293E-2</v>
      </c>
      <c r="S16" s="559">
        <f t="shared" si="5"/>
        <v>33725</v>
      </c>
      <c r="T16" s="559">
        <f t="shared" si="6"/>
        <v>2</v>
      </c>
    </row>
    <row r="17" spans="1:20" s="607" customFormat="1" ht="11.25">
      <c r="A17" s="608" t="s">
        <v>38</v>
      </c>
      <c r="B17" s="609">
        <v>570</v>
      </c>
      <c r="C17" s="609">
        <v>8</v>
      </c>
      <c r="D17" s="610">
        <v>5</v>
      </c>
      <c r="E17" s="609">
        <v>45</v>
      </c>
      <c r="F17" s="609">
        <v>1784</v>
      </c>
      <c r="G17" s="609">
        <v>260</v>
      </c>
      <c r="H17" s="609">
        <v>11666</v>
      </c>
      <c r="I17" s="609">
        <v>0</v>
      </c>
      <c r="J17" s="609">
        <v>625</v>
      </c>
      <c r="K17" s="609">
        <v>213</v>
      </c>
      <c r="L17" s="609">
        <v>279</v>
      </c>
      <c r="M17" s="611">
        <v>15456</v>
      </c>
      <c r="N17" s="559">
        <f t="shared" si="0"/>
        <v>615</v>
      </c>
      <c r="O17" s="559">
        <f t="shared" si="1"/>
        <v>2057</v>
      </c>
      <c r="P17" s="559">
        <f t="shared" si="2"/>
        <v>12783</v>
      </c>
      <c r="Q17" s="594">
        <f t="shared" si="3"/>
        <v>25104</v>
      </c>
      <c r="R17" s="560">
        <f t="shared" si="4"/>
        <v>1.2658093813296141E-2</v>
      </c>
      <c r="S17" s="559">
        <f t="shared" si="5"/>
        <v>15455</v>
      </c>
      <c r="T17" s="559">
        <f t="shared" si="6"/>
        <v>-1</v>
      </c>
    </row>
    <row r="18" spans="1:20" s="607" customFormat="1" ht="11.25">
      <c r="A18" s="608" t="s">
        <v>26</v>
      </c>
      <c r="B18" s="609">
        <v>936</v>
      </c>
      <c r="C18" s="609">
        <v>1</v>
      </c>
      <c r="D18" s="610">
        <v>0</v>
      </c>
      <c r="E18" s="609">
        <v>96</v>
      </c>
      <c r="F18" s="609">
        <v>3997</v>
      </c>
      <c r="G18" s="609">
        <v>444</v>
      </c>
      <c r="H18" s="609">
        <v>22774</v>
      </c>
      <c r="I18" s="609">
        <v>0</v>
      </c>
      <c r="J18" s="609">
        <v>396</v>
      </c>
      <c r="K18" s="609">
        <v>118</v>
      </c>
      <c r="L18" s="609">
        <v>63</v>
      </c>
      <c r="M18" s="611">
        <v>28824</v>
      </c>
      <c r="N18" s="559">
        <f t="shared" si="0"/>
        <v>1032</v>
      </c>
      <c r="O18" s="559">
        <f t="shared" si="1"/>
        <v>4442</v>
      </c>
      <c r="P18" s="559">
        <f t="shared" si="2"/>
        <v>23351</v>
      </c>
      <c r="Q18" s="594">
        <f t="shared" si="3"/>
        <v>46997</v>
      </c>
      <c r="R18" s="560">
        <f t="shared" si="4"/>
        <v>2.3697117389399249E-2</v>
      </c>
      <c r="S18" s="559">
        <f t="shared" si="5"/>
        <v>28825</v>
      </c>
      <c r="T18" s="559">
        <f t="shared" si="6"/>
        <v>1</v>
      </c>
    </row>
    <row r="19" spans="1:20" s="607" customFormat="1" ht="11.25">
      <c r="A19" s="608" t="s">
        <v>15</v>
      </c>
      <c r="B19" s="609">
        <v>1096</v>
      </c>
      <c r="C19" s="609">
        <v>16</v>
      </c>
      <c r="D19" s="610">
        <v>0</v>
      </c>
      <c r="E19" s="609">
        <v>340</v>
      </c>
      <c r="F19" s="609">
        <v>4394</v>
      </c>
      <c r="G19" s="609">
        <v>341</v>
      </c>
      <c r="H19" s="609">
        <v>23866</v>
      </c>
      <c r="I19" s="609">
        <v>0</v>
      </c>
      <c r="J19" s="609">
        <v>670</v>
      </c>
      <c r="K19" s="609">
        <v>320</v>
      </c>
      <c r="L19" s="609">
        <v>285</v>
      </c>
      <c r="M19" s="611">
        <v>31327</v>
      </c>
      <c r="N19" s="559">
        <f t="shared" si="0"/>
        <v>1436</v>
      </c>
      <c r="O19" s="559">
        <f t="shared" si="1"/>
        <v>4751</v>
      </c>
      <c r="P19" s="559">
        <f t="shared" si="2"/>
        <v>25141</v>
      </c>
      <c r="Q19" s="594">
        <f t="shared" si="3"/>
        <v>53754</v>
      </c>
      <c r="R19" s="560">
        <f t="shared" si="4"/>
        <v>2.7104173631290664E-2</v>
      </c>
      <c r="S19" s="559">
        <f t="shared" si="5"/>
        <v>31328</v>
      </c>
      <c r="T19" s="559">
        <f t="shared" si="6"/>
        <v>1</v>
      </c>
    </row>
    <row r="20" spans="1:20" s="607" customFormat="1" ht="11.25">
      <c r="A20" s="608" t="s">
        <v>28</v>
      </c>
      <c r="B20" s="609">
        <v>3084</v>
      </c>
      <c r="C20" s="609">
        <v>0</v>
      </c>
      <c r="D20" s="610">
        <v>0</v>
      </c>
      <c r="E20" s="609">
        <v>198</v>
      </c>
      <c r="F20" s="609">
        <v>10926</v>
      </c>
      <c r="G20" s="609">
        <v>953</v>
      </c>
      <c r="H20" s="609">
        <v>43289</v>
      </c>
      <c r="I20" s="609">
        <v>0</v>
      </c>
      <c r="J20" s="609">
        <v>347</v>
      </c>
      <c r="K20" s="609">
        <v>19</v>
      </c>
      <c r="L20" s="609">
        <v>220</v>
      </c>
      <c r="M20" s="611">
        <v>59036</v>
      </c>
      <c r="N20" s="559">
        <f t="shared" si="0"/>
        <v>3282</v>
      </c>
      <c r="O20" s="559">
        <f t="shared" si="1"/>
        <v>11879</v>
      </c>
      <c r="P20" s="559">
        <f t="shared" si="2"/>
        <v>43875</v>
      </c>
      <c r="Q20" s="594">
        <f t="shared" si="3"/>
        <v>112332</v>
      </c>
      <c r="R20" s="560">
        <f t="shared" si="4"/>
        <v>5.6640734314658311E-2</v>
      </c>
      <c r="S20" s="559">
        <f t="shared" si="5"/>
        <v>59036</v>
      </c>
      <c r="T20" s="559">
        <f t="shared" si="6"/>
        <v>0</v>
      </c>
    </row>
    <row r="21" spans="1:20" s="607" customFormat="1" ht="11.25">
      <c r="A21" s="608" t="s">
        <v>46</v>
      </c>
      <c r="B21" s="609">
        <v>462</v>
      </c>
      <c r="C21" s="609">
        <v>2</v>
      </c>
      <c r="D21" s="610">
        <v>0</v>
      </c>
      <c r="E21" s="609">
        <v>43</v>
      </c>
      <c r="F21" s="609">
        <v>959</v>
      </c>
      <c r="G21" s="609">
        <v>446</v>
      </c>
      <c r="H21" s="609">
        <v>13184</v>
      </c>
      <c r="I21" s="609">
        <v>0</v>
      </c>
      <c r="J21" s="609">
        <v>38</v>
      </c>
      <c r="K21" s="609">
        <v>469</v>
      </c>
      <c r="L21" s="609">
        <v>62</v>
      </c>
      <c r="M21" s="611">
        <v>15665</v>
      </c>
      <c r="N21" s="559">
        <f t="shared" si="0"/>
        <v>505</v>
      </c>
      <c r="O21" s="559">
        <f t="shared" si="1"/>
        <v>1407</v>
      </c>
      <c r="P21" s="559">
        <f t="shared" si="2"/>
        <v>13753</v>
      </c>
      <c r="Q21" s="594">
        <f t="shared" si="3"/>
        <v>23024</v>
      </c>
      <c r="R21" s="560">
        <f t="shared" si="4"/>
        <v>1.1609303376248022E-2</v>
      </c>
      <c r="S21" s="559">
        <f t="shared" si="5"/>
        <v>15665</v>
      </c>
      <c r="T21" s="559">
        <f t="shared" si="6"/>
        <v>0</v>
      </c>
    </row>
    <row r="22" spans="1:20" s="607" customFormat="1" ht="11.25">
      <c r="A22" s="608" t="s">
        <v>39</v>
      </c>
      <c r="B22" s="609">
        <v>1377</v>
      </c>
      <c r="C22" s="609">
        <v>13</v>
      </c>
      <c r="D22" s="610">
        <v>0</v>
      </c>
      <c r="E22" s="609">
        <v>307</v>
      </c>
      <c r="F22" s="609">
        <v>3130</v>
      </c>
      <c r="G22" s="609">
        <v>1437</v>
      </c>
      <c r="H22" s="609">
        <v>29086</v>
      </c>
      <c r="I22" s="609">
        <v>0</v>
      </c>
      <c r="J22" s="609">
        <v>517</v>
      </c>
      <c r="K22" s="609">
        <v>0</v>
      </c>
      <c r="L22" s="609">
        <v>303</v>
      </c>
      <c r="M22" s="611">
        <v>36168</v>
      </c>
      <c r="N22" s="559">
        <f t="shared" si="0"/>
        <v>1684</v>
      </c>
      <c r="O22" s="559">
        <f t="shared" si="1"/>
        <v>4580</v>
      </c>
      <c r="P22" s="559">
        <f t="shared" si="2"/>
        <v>29906</v>
      </c>
      <c r="Q22" s="594">
        <f t="shared" si="3"/>
        <v>60486</v>
      </c>
      <c r="R22" s="560">
        <f t="shared" si="4"/>
        <v>3.0498624218890633E-2</v>
      </c>
      <c r="S22" s="559">
        <f t="shared" si="5"/>
        <v>36170</v>
      </c>
      <c r="T22" s="559">
        <f t="shared" si="6"/>
        <v>2</v>
      </c>
    </row>
    <row r="23" spans="1:20" s="607" customFormat="1" ht="11.25">
      <c r="A23" s="608" t="s">
        <v>29</v>
      </c>
      <c r="B23" s="609">
        <v>1433</v>
      </c>
      <c r="C23" s="609">
        <v>0</v>
      </c>
      <c r="D23" s="610">
        <v>0</v>
      </c>
      <c r="E23" s="609">
        <v>137</v>
      </c>
      <c r="F23" s="609">
        <v>6068</v>
      </c>
      <c r="G23" s="609">
        <v>544</v>
      </c>
      <c r="H23" s="609">
        <v>35142</v>
      </c>
      <c r="I23" s="609">
        <v>2654</v>
      </c>
      <c r="J23" s="609">
        <v>898</v>
      </c>
      <c r="K23" s="609">
        <v>3</v>
      </c>
      <c r="L23" s="609">
        <v>457</v>
      </c>
      <c r="M23" s="611">
        <v>47336</v>
      </c>
      <c r="N23" s="559">
        <f t="shared" si="0"/>
        <v>1570</v>
      </c>
      <c r="O23" s="559">
        <f t="shared" si="1"/>
        <v>6612</v>
      </c>
      <c r="P23" s="559">
        <f t="shared" si="2"/>
        <v>39154</v>
      </c>
      <c r="Q23" s="594">
        <f t="shared" si="3"/>
        <v>74690</v>
      </c>
      <c r="R23" s="560">
        <f t="shared" si="4"/>
        <v>3.7660652761117304E-2</v>
      </c>
      <c r="S23" s="559">
        <f t="shared" si="5"/>
        <v>47336</v>
      </c>
      <c r="T23" s="559">
        <f t="shared" si="6"/>
        <v>0</v>
      </c>
    </row>
    <row r="24" spans="1:20" s="607" customFormat="1" ht="11.25">
      <c r="A24" s="608" t="s">
        <v>16</v>
      </c>
      <c r="B24" s="609">
        <v>199</v>
      </c>
      <c r="C24" s="609">
        <v>0</v>
      </c>
      <c r="D24" s="610">
        <v>0</v>
      </c>
      <c r="E24" s="609">
        <v>14</v>
      </c>
      <c r="F24" s="609">
        <v>1130</v>
      </c>
      <c r="G24" s="609">
        <v>271</v>
      </c>
      <c r="H24" s="609">
        <v>7058</v>
      </c>
      <c r="I24" s="609">
        <v>368</v>
      </c>
      <c r="J24" s="609">
        <v>205</v>
      </c>
      <c r="K24" s="609">
        <v>479</v>
      </c>
      <c r="L24" s="609">
        <v>19</v>
      </c>
      <c r="M24" s="611">
        <v>9743</v>
      </c>
      <c r="N24" s="559">
        <f t="shared" si="0"/>
        <v>213</v>
      </c>
      <c r="O24" s="559">
        <f t="shared" si="1"/>
        <v>1401</v>
      </c>
      <c r="P24" s="559">
        <f t="shared" si="2"/>
        <v>8129</v>
      </c>
      <c r="Q24" s="594">
        <f t="shared" si="3"/>
        <v>14462</v>
      </c>
      <c r="R24" s="560">
        <f t="shared" si="4"/>
        <v>7.2921188945143725E-3</v>
      </c>
      <c r="S24" s="559">
        <f t="shared" si="5"/>
        <v>9743</v>
      </c>
      <c r="T24" s="559">
        <f t="shared" si="6"/>
        <v>0</v>
      </c>
    </row>
    <row r="25" spans="1:20" s="607" customFormat="1" ht="11.25">
      <c r="A25" s="608" t="s">
        <v>30</v>
      </c>
      <c r="B25" s="609">
        <v>666</v>
      </c>
      <c r="C25" s="609">
        <v>0</v>
      </c>
      <c r="D25" s="610">
        <v>0</v>
      </c>
      <c r="E25" s="609">
        <v>56</v>
      </c>
      <c r="F25" s="609">
        <v>2373</v>
      </c>
      <c r="G25" s="609">
        <v>749</v>
      </c>
      <c r="H25" s="609">
        <v>19363</v>
      </c>
      <c r="I25" s="609">
        <v>77</v>
      </c>
      <c r="J25" s="609">
        <v>932</v>
      </c>
      <c r="K25" s="609">
        <v>0</v>
      </c>
      <c r="L25" s="609">
        <v>129</v>
      </c>
      <c r="M25" s="611">
        <v>24345</v>
      </c>
      <c r="N25" s="559">
        <f t="shared" si="0"/>
        <v>722</v>
      </c>
      <c r="O25" s="559">
        <f t="shared" si="1"/>
        <v>3122</v>
      </c>
      <c r="P25" s="559">
        <f t="shared" si="2"/>
        <v>20501</v>
      </c>
      <c r="Q25" s="594">
        <f t="shared" si="3"/>
        <v>37087</v>
      </c>
      <c r="R25" s="560">
        <f t="shared" si="4"/>
        <v>1.8700236028270954E-2</v>
      </c>
      <c r="S25" s="559">
        <f t="shared" si="5"/>
        <v>24345</v>
      </c>
      <c r="T25" s="559">
        <f t="shared" si="6"/>
        <v>0</v>
      </c>
    </row>
    <row r="26" spans="1:20" s="607" customFormat="1" ht="11.25">
      <c r="A26" s="608" t="s">
        <v>75</v>
      </c>
      <c r="B26" s="609">
        <v>1434</v>
      </c>
      <c r="C26" s="609">
        <v>2</v>
      </c>
      <c r="D26" s="610">
        <v>171</v>
      </c>
      <c r="E26" s="609">
        <v>204</v>
      </c>
      <c r="F26" s="609">
        <v>2753</v>
      </c>
      <c r="G26" s="609">
        <v>493</v>
      </c>
      <c r="H26" s="609">
        <v>16083</v>
      </c>
      <c r="I26" s="609">
        <v>0</v>
      </c>
      <c r="J26" s="609">
        <v>104</v>
      </c>
      <c r="K26" s="609">
        <v>96</v>
      </c>
      <c r="L26" s="609">
        <v>115</v>
      </c>
      <c r="M26" s="611">
        <v>21453</v>
      </c>
      <c r="N26" s="559">
        <f t="shared" si="0"/>
        <v>1638</v>
      </c>
      <c r="O26" s="559">
        <f t="shared" si="1"/>
        <v>3419</v>
      </c>
      <c r="P26" s="559">
        <f t="shared" si="2"/>
        <v>16398</v>
      </c>
      <c r="Q26" s="594">
        <f t="shared" si="3"/>
        <v>43035</v>
      </c>
      <c r="R26" s="560">
        <f t="shared" si="4"/>
        <v>2.1699373297291248E-2</v>
      </c>
      <c r="S26" s="559">
        <f t="shared" si="5"/>
        <v>21455</v>
      </c>
      <c r="T26" s="559">
        <f t="shared" si="6"/>
        <v>2</v>
      </c>
    </row>
    <row r="27" spans="1:20" s="607" customFormat="1" ht="11.25">
      <c r="A27" s="608" t="s">
        <v>60</v>
      </c>
      <c r="B27" s="609">
        <v>346</v>
      </c>
      <c r="C27" s="609">
        <v>0</v>
      </c>
      <c r="D27" s="610">
        <v>45</v>
      </c>
      <c r="E27" s="609">
        <v>29</v>
      </c>
      <c r="F27" s="609">
        <v>1449</v>
      </c>
      <c r="G27" s="609">
        <v>230</v>
      </c>
      <c r="H27" s="609">
        <v>9009</v>
      </c>
      <c r="I27" s="609">
        <v>1</v>
      </c>
      <c r="J27" s="609">
        <v>348</v>
      </c>
      <c r="K27" s="609">
        <v>171</v>
      </c>
      <c r="L27" s="609">
        <v>97</v>
      </c>
      <c r="M27" s="611">
        <v>11724</v>
      </c>
      <c r="N27" s="559">
        <f t="shared" si="0"/>
        <v>375</v>
      </c>
      <c r="O27" s="559">
        <f t="shared" si="1"/>
        <v>1724</v>
      </c>
      <c r="P27" s="559">
        <f t="shared" si="2"/>
        <v>9626</v>
      </c>
      <c r="Q27" s="594">
        <f t="shared" si="3"/>
        <v>18548</v>
      </c>
      <c r="R27" s="560">
        <f t="shared" si="4"/>
        <v>9.3523870319079366E-3</v>
      </c>
      <c r="S27" s="559">
        <f t="shared" si="5"/>
        <v>11725</v>
      </c>
      <c r="T27" s="559">
        <f t="shared" si="6"/>
        <v>1</v>
      </c>
    </row>
    <row r="28" spans="1:20" s="607" customFormat="1" ht="11.25">
      <c r="A28" s="608" t="s">
        <v>76</v>
      </c>
      <c r="B28" s="609">
        <v>3296</v>
      </c>
      <c r="C28" s="609">
        <v>46</v>
      </c>
      <c r="D28" s="610">
        <v>0</v>
      </c>
      <c r="E28" s="609">
        <v>266</v>
      </c>
      <c r="F28" s="609">
        <v>18247</v>
      </c>
      <c r="G28" s="609">
        <v>1459</v>
      </c>
      <c r="H28" s="609">
        <v>24112</v>
      </c>
      <c r="I28" s="609">
        <v>66</v>
      </c>
      <c r="J28" s="609">
        <v>266</v>
      </c>
      <c r="K28" s="609">
        <v>39</v>
      </c>
      <c r="L28" s="609">
        <v>274</v>
      </c>
      <c r="M28" s="611">
        <v>48072</v>
      </c>
      <c r="N28" s="559">
        <f t="shared" si="0"/>
        <v>3562</v>
      </c>
      <c r="O28" s="559">
        <f t="shared" si="1"/>
        <v>19752</v>
      </c>
      <c r="P28" s="559">
        <f t="shared" si="2"/>
        <v>24757</v>
      </c>
      <c r="Q28" s="594">
        <f t="shared" si="3"/>
        <v>119633</v>
      </c>
      <c r="R28" s="560">
        <f t="shared" si="4"/>
        <v>6.0322089593931538E-2</v>
      </c>
      <c r="S28" s="559">
        <f t="shared" si="5"/>
        <v>48071</v>
      </c>
      <c r="T28" s="559">
        <f t="shared" si="6"/>
        <v>-1</v>
      </c>
    </row>
    <row r="29" spans="1:20" s="607" customFormat="1" ht="11.25">
      <c r="A29" s="608" t="s">
        <v>77</v>
      </c>
      <c r="B29" s="609">
        <v>390</v>
      </c>
      <c r="C29" s="609">
        <v>0</v>
      </c>
      <c r="D29" s="610">
        <v>0</v>
      </c>
      <c r="E29" s="609">
        <v>56</v>
      </c>
      <c r="F29" s="609">
        <v>1755</v>
      </c>
      <c r="G29" s="609">
        <v>513</v>
      </c>
      <c r="H29" s="609">
        <v>8067</v>
      </c>
      <c r="I29" s="609">
        <v>15</v>
      </c>
      <c r="J29" s="609">
        <v>275</v>
      </c>
      <c r="K29" s="609">
        <v>278</v>
      </c>
      <c r="L29" s="609">
        <v>38</v>
      </c>
      <c r="M29" s="611">
        <v>11386</v>
      </c>
      <c r="N29" s="559">
        <f t="shared" si="0"/>
        <v>446</v>
      </c>
      <c r="O29" s="559">
        <f t="shared" si="1"/>
        <v>2268</v>
      </c>
      <c r="P29" s="559">
        <f t="shared" si="2"/>
        <v>8673</v>
      </c>
      <c r="Q29" s="594">
        <f t="shared" si="3"/>
        <v>19937</v>
      </c>
      <c r="R29" s="560">
        <f t="shared" si="4"/>
        <v>1.005275718434055E-2</v>
      </c>
      <c r="S29" s="559">
        <f t="shared" si="5"/>
        <v>11387</v>
      </c>
      <c r="T29" s="559">
        <f t="shared" si="6"/>
        <v>1</v>
      </c>
    </row>
    <row r="30" spans="1:20" s="607" customFormat="1" ht="11.25">
      <c r="A30" s="608" t="s">
        <v>78</v>
      </c>
      <c r="B30" s="609">
        <v>2940</v>
      </c>
      <c r="C30" s="609">
        <v>0</v>
      </c>
      <c r="D30" s="610">
        <v>0</v>
      </c>
      <c r="E30" s="609">
        <v>325</v>
      </c>
      <c r="F30" s="609">
        <v>8198</v>
      </c>
      <c r="G30" s="609">
        <v>393</v>
      </c>
      <c r="H30" s="609">
        <v>29345</v>
      </c>
      <c r="I30" s="609">
        <v>0</v>
      </c>
      <c r="J30" s="609">
        <v>28</v>
      </c>
      <c r="K30" s="609">
        <v>128</v>
      </c>
      <c r="L30" s="609">
        <v>487</v>
      </c>
      <c r="M30" s="611">
        <v>41844</v>
      </c>
      <c r="N30" s="559">
        <f t="shared" si="0"/>
        <v>3265</v>
      </c>
      <c r="O30" s="559">
        <f t="shared" si="1"/>
        <v>8591</v>
      </c>
      <c r="P30" s="559">
        <f t="shared" si="2"/>
        <v>29988</v>
      </c>
      <c r="Q30" s="594">
        <f t="shared" si="3"/>
        <v>88411</v>
      </c>
      <c r="R30" s="560">
        <f t="shared" si="4"/>
        <v>4.4579140062433284E-2</v>
      </c>
      <c r="S30" s="559">
        <f t="shared" si="5"/>
        <v>41844</v>
      </c>
      <c r="T30" s="559">
        <f t="shared" si="6"/>
        <v>0</v>
      </c>
    </row>
    <row r="31" spans="1:20" s="607" customFormat="1" ht="11.25">
      <c r="A31" s="608" t="s">
        <v>79</v>
      </c>
      <c r="B31" s="609">
        <v>1143</v>
      </c>
      <c r="C31" s="609">
        <v>26</v>
      </c>
      <c r="D31" s="610">
        <v>125</v>
      </c>
      <c r="E31" s="609">
        <v>93</v>
      </c>
      <c r="F31" s="609">
        <v>2113</v>
      </c>
      <c r="G31" s="609">
        <v>373</v>
      </c>
      <c r="H31" s="609">
        <v>18156</v>
      </c>
      <c r="I31" s="609">
        <v>0</v>
      </c>
      <c r="J31" s="609">
        <v>48</v>
      </c>
      <c r="K31" s="609">
        <v>1682</v>
      </c>
      <c r="L31" s="609">
        <v>131</v>
      </c>
      <c r="M31" s="611">
        <v>23890</v>
      </c>
      <c r="N31" s="559">
        <f t="shared" si="0"/>
        <v>1236</v>
      </c>
      <c r="O31" s="559">
        <f t="shared" si="1"/>
        <v>2637</v>
      </c>
      <c r="P31" s="559">
        <f t="shared" si="2"/>
        <v>20017</v>
      </c>
      <c r="Q31" s="594">
        <f t="shared" si="3"/>
        <v>40288</v>
      </c>
      <c r="R31" s="560">
        <f t="shared" si="4"/>
        <v>2.0314264003747407E-2</v>
      </c>
      <c r="S31" s="559">
        <f t="shared" si="5"/>
        <v>23890</v>
      </c>
      <c r="T31" s="559">
        <f t="shared" si="6"/>
        <v>0</v>
      </c>
    </row>
    <row r="32" spans="1:20" s="607" customFormat="1" ht="11.25">
      <c r="A32" s="608" t="s">
        <v>80</v>
      </c>
      <c r="B32" s="609">
        <v>128</v>
      </c>
      <c r="C32" s="609">
        <v>0</v>
      </c>
      <c r="D32" s="610">
        <v>0</v>
      </c>
      <c r="E32" s="609">
        <v>88</v>
      </c>
      <c r="F32" s="609">
        <v>264</v>
      </c>
      <c r="G32" s="609">
        <v>363</v>
      </c>
      <c r="H32" s="609">
        <v>7711</v>
      </c>
      <c r="I32" s="609">
        <v>0</v>
      </c>
      <c r="J32" s="609">
        <v>8</v>
      </c>
      <c r="K32" s="609">
        <v>594</v>
      </c>
      <c r="L32" s="609">
        <v>116</v>
      </c>
      <c r="M32" s="611">
        <v>9273</v>
      </c>
      <c r="N32" s="559">
        <f>SUM(B32,E32)</f>
        <v>216</v>
      </c>
      <c r="O32" s="559">
        <f>SUM(C32,D32,G32,F32)</f>
        <v>627</v>
      </c>
      <c r="P32" s="559">
        <f>SUM(H32:L32)</f>
        <v>8429</v>
      </c>
      <c r="Q32" s="594">
        <f t="shared" si="3"/>
        <v>12470</v>
      </c>
      <c r="R32" s="560">
        <f t="shared" si="4"/>
        <v>6.2877003605721358E-3</v>
      </c>
      <c r="S32" s="559">
        <f t="shared" si="5"/>
        <v>9272</v>
      </c>
      <c r="T32" s="559">
        <f t="shared" si="6"/>
        <v>-1</v>
      </c>
    </row>
    <row r="33" spans="1:20" s="607" customFormat="1" ht="11.25">
      <c r="A33" s="608" t="s">
        <v>81</v>
      </c>
      <c r="B33" s="609">
        <v>3012</v>
      </c>
      <c r="C33" s="609">
        <v>37</v>
      </c>
      <c r="D33" s="610">
        <v>1030</v>
      </c>
      <c r="E33" s="609">
        <v>278</v>
      </c>
      <c r="F33" s="609">
        <v>4883</v>
      </c>
      <c r="G33" s="609">
        <v>802</v>
      </c>
      <c r="H33" s="609">
        <v>29288</v>
      </c>
      <c r="I33" s="609">
        <v>90</v>
      </c>
      <c r="J33" s="609">
        <v>229</v>
      </c>
      <c r="K33" s="609">
        <v>213</v>
      </c>
      <c r="L33" s="609">
        <v>353</v>
      </c>
      <c r="M33" s="611">
        <v>40214</v>
      </c>
      <c r="N33" s="559">
        <f t="shared" si="0"/>
        <v>3290</v>
      </c>
      <c r="O33" s="559">
        <f t="shared" si="1"/>
        <v>6752</v>
      </c>
      <c r="P33" s="559">
        <f t="shared" si="2"/>
        <v>30173</v>
      </c>
      <c r="Q33" s="594">
        <f t="shared" si="3"/>
        <v>83329</v>
      </c>
      <c r="R33" s="560">
        <f t="shared" si="4"/>
        <v>4.2016662658068603E-2</v>
      </c>
      <c r="S33" s="559">
        <f t="shared" si="5"/>
        <v>40215</v>
      </c>
      <c r="T33" s="559">
        <f t="shared" si="6"/>
        <v>1</v>
      </c>
    </row>
    <row r="34" spans="1:20" s="603" customFormat="1" ht="11.25">
      <c r="A34" s="608" t="s">
        <v>52</v>
      </c>
      <c r="B34" s="609">
        <v>660</v>
      </c>
      <c r="C34" s="609">
        <v>6</v>
      </c>
      <c r="D34" s="610">
        <v>0</v>
      </c>
      <c r="E34" s="609">
        <v>44</v>
      </c>
      <c r="F34" s="609">
        <v>2383</v>
      </c>
      <c r="G34" s="609">
        <v>559</v>
      </c>
      <c r="H34" s="609">
        <v>17291</v>
      </c>
      <c r="I34" s="609">
        <v>121</v>
      </c>
      <c r="J34" s="609">
        <v>351</v>
      </c>
      <c r="K34" s="609">
        <v>634</v>
      </c>
      <c r="L34" s="609">
        <v>219</v>
      </c>
      <c r="M34" s="611">
        <v>22269</v>
      </c>
      <c r="N34" s="559">
        <f t="shared" si="0"/>
        <v>704</v>
      </c>
      <c r="O34" s="559">
        <f t="shared" si="1"/>
        <v>2948</v>
      </c>
      <c r="P34" s="559">
        <f t="shared" si="2"/>
        <v>18616</v>
      </c>
      <c r="Q34" s="594">
        <f t="shared" si="3"/>
        <v>34500</v>
      </c>
      <c r="R34" s="560">
        <f t="shared" si="4"/>
        <v>1.7395802922192356E-2</v>
      </c>
      <c r="S34" s="559">
        <f t="shared" si="5"/>
        <v>22268</v>
      </c>
      <c r="T34" s="559">
        <f t="shared" si="6"/>
        <v>-1</v>
      </c>
    </row>
    <row r="35" spans="1:20" s="607" customFormat="1" ht="11.25">
      <c r="A35" s="608" t="s">
        <v>41</v>
      </c>
      <c r="B35" s="609">
        <v>398</v>
      </c>
      <c r="C35" s="609">
        <v>2</v>
      </c>
      <c r="D35" s="610">
        <v>0</v>
      </c>
      <c r="E35" s="609">
        <v>34</v>
      </c>
      <c r="F35" s="609">
        <v>1852</v>
      </c>
      <c r="G35" s="609">
        <v>779</v>
      </c>
      <c r="H35" s="609">
        <v>9450</v>
      </c>
      <c r="I35" s="609">
        <v>485</v>
      </c>
      <c r="J35" s="609">
        <v>323</v>
      </c>
      <c r="K35" s="609">
        <v>1159</v>
      </c>
      <c r="L35" s="609">
        <v>76</v>
      </c>
      <c r="M35" s="611">
        <v>14557</v>
      </c>
      <c r="N35" s="559">
        <f t="shared" si="0"/>
        <v>432</v>
      </c>
      <c r="O35" s="559">
        <f t="shared" si="1"/>
        <v>2633</v>
      </c>
      <c r="P35" s="559">
        <f t="shared" si="2"/>
        <v>11493</v>
      </c>
      <c r="Q35" s="594">
        <f t="shared" si="3"/>
        <v>23712</v>
      </c>
      <c r="R35" s="560">
        <f t="shared" si="4"/>
        <v>1.1956210982348555E-2</v>
      </c>
      <c r="S35" s="559">
        <f t="shared" si="5"/>
        <v>14558</v>
      </c>
      <c r="T35" s="559">
        <f t="shared" si="6"/>
        <v>1</v>
      </c>
    </row>
    <row r="36" spans="1:20" s="607" customFormat="1" ht="11.25">
      <c r="A36" s="608" t="s">
        <v>82</v>
      </c>
      <c r="B36" s="609">
        <v>2946</v>
      </c>
      <c r="C36" s="609">
        <v>36</v>
      </c>
      <c r="D36" s="610">
        <v>0</v>
      </c>
      <c r="E36" s="609">
        <v>641</v>
      </c>
      <c r="F36" s="609">
        <v>13491</v>
      </c>
      <c r="G36" s="609">
        <v>749</v>
      </c>
      <c r="H36" s="609">
        <v>28780</v>
      </c>
      <c r="I36" s="609">
        <v>0</v>
      </c>
      <c r="J36" s="609">
        <v>93</v>
      </c>
      <c r="K36" s="609">
        <v>3</v>
      </c>
      <c r="L36" s="609">
        <v>428</v>
      </c>
      <c r="M36" s="611">
        <v>47167</v>
      </c>
      <c r="N36" s="559">
        <f t="shared" si="0"/>
        <v>3587</v>
      </c>
      <c r="O36" s="559">
        <f t="shared" si="1"/>
        <v>14276</v>
      </c>
      <c r="P36" s="559">
        <f t="shared" si="2"/>
        <v>29304</v>
      </c>
      <c r="Q36" s="594">
        <f t="shared" si="3"/>
        <v>108002</v>
      </c>
      <c r="R36" s="560">
        <f t="shared" si="4"/>
        <v>5.4457434991380255E-2</v>
      </c>
      <c r="S36" s="559">
        <f t="shared" si="5"/>
        <v>47167</v>
      </c>
      <c r="T36" s="559">
        <f t="shared" si="6"/>
        <v>0</v>
      </c>
    </row>
    <row r="37" spans="1:20" s="607" customFormat="1" ht="11.25">
      <c r="A37" s="608" t="s">
        <v>54</v>
      </c>
      <c r="B37" s="609">
        <v>1043</v>
      </c>
      <c r="C37" s="609">
        <v>0</v>
      </c>
      <c r="D37" s="610">
        <v>0</v>
      </c>
      <c r="E37" s="609">
        <v>59</v>
      </c>
      <c r="F37" s="609">
        <v>1745</v>
      </c>
      <c r="G37" s="609">
        <v>543</v>
      </c>
      <c r="H37" s="609">
        <v>15347</v>
      </c>
      <c r="I37" s="609">
        <v>483</v>
      </c>
      <c r="J37" s="609">
        <v>839</v>
      </c>
      <c r="K37" s="609">
        <v>843</v>
      </c>
      <c r="L37" s="609">
        <v>41</v>
      </c>
      <c r="M37" s="611">
        <v>20943</v>
      </c>
      <c r="N37" s="559">
        <f t="shared" si="0"/>
        <v>1102</v>
      </c>
      <c r="O37" s="559">
        <f t="shared" si="1"/>
        <v>2288</v>
      </c>
      <c r="P37" s="559">
        <f t="shared" si="2"/>
        <v>17553</v>
      </c>
      <c r="Q37" s="594">
        <f t="shared" si="3"/>
        <v>35437</v>
      </c>
      <c r="R37" s="560">
        <f t="shared" si="4"/>
        <v>1.7868262845035666E-2</v>
      </c>
      <c r="S37" s="559">
        <f t="shared" si="5"/>
        <v>20943</v>
      </c>
      <c r="T37" s="559">
        <f t="shared" si="6"/>
        <v>0</v>
      </c>
    </row>
    <row r="38" spans="1:20" s="607" customFormat="1" ht="11.25">
      <c r="A38" s="608" t="s">
        <v>321</v>
      </c>
      <c r="B38" s="609">
        <v>1115</v>
      </c>
      <c r="C38" s="609">
        <v>0</v>
      </c>
      <c r="D38" s="610">
        <v>0</v>
      </c>
      <c r="E38" s="609">
        <v>132</v>
      </c>
      <c r="F38" s="609">
        <v>5871</v>
      </c>
      <c r="G38" s="609">
        <v>639</v>
      </c>
      <c r="H38" s="609">
        <v>23336</v>
      </c>
      <c r="I38" s="609">
        <v>0</v>
      </c>
      <c r="J38" s="609">
        <v>51</v>
      </c>
      <c r="K38" s="609">
        <v>783</v>
      </c>
      <c r="L38" s="609">
        <v>293</v>
      </c>
      <c r="M38" s="611">
        <v>32218</v>
      </c>
      <c r="N38" s="559">
        <f t="shared" si="0"/>
        <v>1247</v>
      </c>
      <c r="O38" s="559">
        <f t="shared" si="1"/>
        <v>6510</v>
      </c>
      <c r="P38" s="559">
        <f t="shared" si="2"/>
        <v>24463</v>
      </c>
      <c r="Q38" s="594">
        <f t="shared" si="3"/>
        <v>56463</v>
      </c>
      <c r="R38" s="560">
        <f t="shared" si="4"/>
        <v>2.8470122330311504E-2</v>
      </c>
      <c r="S38" s="559">
        <f t="shared" si="5"/>
        <v>32220</v>
      </c>
      <c r="T38" s="559">
        <f t="shared" si="6"/>
        <v>2</v>
      </c>
    </row>
    <row r="39" spans="1:20" s="607" customFormat="1" ht="11.25">
      <c r="A39" s="608" t="s">
        <v>42</v>
      </c>
      <c r="B39" s="609">
        <v>205</v>
      </c>
      <c r="C39" s="609">
        <v>0</v>
      </c>
      <c r="D39" s="610">
        <v>0</v>
      </c>
      <c r="E39" s="609">
        <v>36</v>
      </c>
      <c r="F39" s="609">
        <v>598</v>
      </c>
      <c r="G39" s="609">
        <v>153</v>
      </c>
      <c r="H39" s="609">
        <v>7940</v>
      </c>
      <c r="I39" s="609">
        <v>46</v>
      </c>
      <c r="J39" s="609">
        <v>37</v>
      </c>
      <c r="K39" s="609">
        <v>572</v>
      </c>
      <c r="L39" s="609">
        <v>203</v>
      </c>
      <c r="M39" s="611">
        <v>9788</v>
      </c>
      <c r="N39" s="559">
        <f t="shared" si="0"/>
        <v>241</v>
      </c>
      <c r="O39" s="559">
        <f t="shared" si="1"/>
        <v>751</v>
      </c>
      <c r="P39" s="559">
        <f t="shared" si="2"/>
        <v>8798</v>
      </c>
      <c r="Q39" s="594">
        <f t="shared" si="3"/>
        <v>13461</v>
      </c>
      <c r="R39" s="560">
        <f t="shared" si="4"/>
        <v>6.787388496684965E-3</v>
      </c>
      <c r="S39" s="559">
        <f t="shared" si="5"/>
        <v>9790</v>
      </c>
      <c r="T39" s="559">
        <f t="shared" si="6"/>
        <v>2</v>
      </c>
    </row>
    <row r="40" spans="1:20" s="607" customFormat="1" ht="11.25">
      <c r="A40" s="608" t="s">
        <v>83</v>
      </c>
      <c r="B40" s="609">
        <v>1416</v>
      </c>
      <c r="C40" s="609">
        <v>1</v>
      </c>
      <c r="D40" s="610">
        <v>1366</v>
      </c>
      <c r="E40" s="609">
        <v>133</v>
      </c>
      <c r="F40" s="609">
        <v>3246</v>
      </c>
      <c r="G40" s="609">
        <v>529</v>
      </c>
      <c r="H40" s="609">
        <v>12590</v>
      </c>
      <c r="I40" s="609">
        <v>0</v>
      </c>
      <c r="J40" s="609">
        <v>228</v>
      </c>
      <c r="K40" s="609">
        <v>55</v>
      </c>
      <c r="L40" s="609">
        <v>1</v>
      </c>
      <c r="M40" s="611">
        <v>19565</v>
      </c>
      <c r="N40" s="559">
        <f t="shared" si="0"/>
        <v>1549</v>
      </c>
      <c r="O40" s="559">
        <f t="shared" si="1"/>
        <v>5142</v>
      </c>
      <c r="P40" s="559">
        <f t="shared" si="2"/>
        <v>12874</v>
      </c>
      <c r="Q40" s="594">
        <f t="shared" si="3"/>
        <v>43790</v>
      </c>
      <c r="R40" s="560">
        <f t="shared" si="4"/>
        <v>2.2080064056892848E-2</v>
      </c>
      <c r="S40" s="559">
        <f t="shared" si="5"/>
        <v>19565</v>
      </c>
      <c r="T40" s="559">
        <f t="shared" si="6"/>
        <v>0</v>
      </c>
    </row>
    <row r="41" spans="1:20" s="607" customFormat="1" ht="11.25">
      <c r="A41" s="620" t="s">
        <v>23</v>
      </c>
      <c r="B41" s="618">
        <v>1151</v>
      </c>
      <c r="C41" s="618">
        <v>0</v>
      </c>
      <c r="D41" s="619">
        <v>0</v>
      </c>
      <c r="E41" s="618">
        <v>106</v>
      </c>
      <c r="F41" s="618">
        <v>3590</v>
      </c>
      <c r="G41" s="618">
        <v>349</v>
      </c>
      <c r="H41" s="618">
        <v>19131</v>
      </c>
      <c r="I41" s="618">
        <v>0</v>
      </c>
      <c r="J41" s="618">
        <v>58</v>
      </c>
      <c r="K41" s="618">
        <v>257</v>
      </c>
      <c r="L41" s="618">
        <v>387</v>
      </c>
      <c r="M41" s="617">
        <v>25029</v>
      </c>
      <c r="N41" s="559">
        <f t="shared" si="0"/>
        <v>1257</v>
      </c>
      <c r="O41" s="559">
        <f t="shared" si="1"/>
        <v>3939</v>
      </c>
      <c r="P41" s="559">
        <f t="shared" si="2"/>
        <v>19833</v>
      </c>
      <c r="Q41" s="594">
        <f t="shared" si="3"/>
        <v>44220</v>
      </c>
      <c r="R41" s="560">
        <f t="shared" si="4"/>
        <v>2.2296881310705681E-2</v>
      </c>
      <c r="S41" s="559">
        <f t="shared" si="5"/>
        <v>25029</v>
      </c>
      <c r="T41" s="559">
        <f t="shared" si="6"/>
        <v>0</v>
      </c>
    </row>
    <row r="42" spans="1:20" s="607" customFormat="1" ht="11.25">
      <c r="A42" s="608" t="s">
        <v>33</v>
      </c>
      <c r="B42" s="618">
        <v>468</v>
      </c>
      <c r="C42" s="618">
        <v>6</v>
      </c>
      <c r="D42" s="619">
        <v>0</v>
      </c>
      <c r="E42" s="618">
        <v>34</v>
      </c>
      <c r="F42" s="618">
        <v>1874</v>
      </c>
      <c r="G42" s="618">
        <v>389</v>
      </c>
      <c r="H42" s="618">
        <v>15135</v>
      </c>
      <c r="I42" s="618">
        <v>1</v>
      </c>
      <c r="J42" s="618">
        <v>1139</v>
      </c>
      <c r="K42" s="618">
        <v>134</v>
      </c>
      <c r="L42" s="618">
        <v>294</v>
      </c>
      <c r="M42" s="617">
        <v>19473</v>
      </c>
      <c r="N42" s="559">
        <f t="shared" si="0"/>
        <v>502</v>
      </c>
      <c r="O42" s="559">
        <f t="shared" si="1"/>
        <v>2269</v>
      </c>
      <c r="P42" s="559">
        <f t="shared" si="2"/>
        <v>16703</v>
      </c>
      <c r="Q42" s="594">
        <f t="shared" si="3"/>
        <v>28530</v>
      </c>
      <c r="R42" s="560">
        <f t="shared" si="4"/>
        <v>1.4385572677395592E-2</v>
      </c>
      <c r="S42" s="559">
        <f t="shared" si="5"/>
        <v>19474</v>
      </c>
      <c r="T42" s="559">
        <f t="shared" si="6"/>
        <v>1</v>
      </c>
    </row>
    <row r="43" spans="1:20" s="607" customFormat="1" ht="11.25">
      <c r="A43" s="608" t="s">
        <v>322</v>
      </c>
      <c r="B43" s="609">
        <v>753</v>
      </c>
      <c r="C43" s="609">
        <v>0</v>
      </c>
      <c r="D43" s="610">
        <v>0</v>
      </c>
      <c r="E43" s="609">
        <v>112</v>
      </c>
      <c r="F43" s="609">
        <v>3257</v>
      </c>
      <c r="G43" s="609">
        <v>260</v>
      </c>
      <c r="H43" s="609">
        <v>26830</v>
      </c>
      <c r="I43" s="609">
        <v>11</v>
      </c>
      <c r="J43" s="609">
        <v>1248</v>
      </c>
      <c r="K43" s="609">
        <v>705</v>
      </c>
      <c r="L43" s="609">
        <v>119</v>
      </c>
      <c r="M43" s="611">
        <v>33294</v>
      </c>
      <c r="N43" s="559">
        <f t="shared" si="0"/>
        <v>865</v>
      </c>
      <c r="O43" s="559">
        <f t="shared" si="1"/>
        <v>3517</v>
      </c>
      <c r="P43" s="559">
        <f t="shared" si="2"/>
        <v>28913</v>
      </c>
      <c r="Q43" s="594">
        <f>(10*N43)+(3*O43)+P43</f>
        <v>48114</v>
      </c>
      <c r="R43" s="560">
        <f>SUM(Q43/($Q$45+$Q$57))</f>
        <v>2.4260338023140957E-2</v>
      </c>
      <c r="S43" s="559">
        <f>SUM(N43:P43)</f>
        <v>33295</v>
      </c>
      <c r="T43" s="559">
        <f t="shared" si="6"/>
        <v>1</v>
      </c>
    </row>
    <row r="44" spans="1:20" s="607" customFormat="1" ht="11.25">
      <c r="A44" s="608"/>
      <c r="B44" s="609"/>
      <c r="C44" s="609"/>
      <c r="D44" s="610"/>
      <c r="E44" s="609"/>
      <c r="F44" s="609"/>
      <c r="G44" s="609"/>
      <c r="H44" s="609"/>
      <c r="I44" s="609"/>
      <c r="J44" s="609"/>
      <c r="K44" s="609"/>
      <c r="L44" s="609"/>
      <c r="M44" s="611"/>
    </row>
    <row r="45" spans="1:20" s="607" customFormat="1" ht="11.25">
      <c r="A45" s="629" t="s">
        <v>331</v>
      </c>
      <c r="B45" s="630">
        <f t="shared" ref="B45:T45" si="7">SUM(B5:B43)</f>
        <v>40880</v>
      </c>
      <c r="C45" s="630">
        <f t="shared" si="7"/>
        <v>240</v>
      </c>
      <c r="D45" s="630">
        <f t="shared" si="7"/>
        <v>4364</v>
      </c>
      <c r="E45" s="630">
        <f t="shared" si="7"/>
        <v>4656</v>
      </c>
      <c r="F45" s="630">
        <f t="shared" si="7"/>
        <v>148378</v>
      </c>
      <c r="G45" s="630">
        <f t="shared" si="7"/>
        <v>23579</v>
      </c>
      <c r="H45" s="630">
        <f t="shared" si="7"/>
        <v>699152</v>
      </c>
      <c r="I45" s="630">
        <f t="shared" si="7"/>
        <v>5873</v>
      </c>
      <c r="J45" s="630">
        <f t="shared" si="7"/>
        <v>11877</v>
      </c>
      <c r="K45" s="630">
        <f t="shared" si="7"/>
        <v>14720</v>
      </c>
      <c r="L45" s="630">
        <f t="shared" si="7"/>
        <v>7702</v>
      </c>
      <c r="M45" s="630">
        <f t="shared" si="7"/>
        <v>961404</v>
      </c>
      <c r="N45" s="630">
        <f t="shared" si="7"/>
        <v>45536</v>
      </c>
      <c r="O45" s="630">
        <f t="shared" si="7"/>
        <v>176561</v>
      </c>
      <c r="P45" s="630">
        <f t="shared" si="7"/>
        <v>739324</v>
      </c>
      <c r="Q45" s="630">
        <f t="shared" si="7"/>
        <v>1724367</v>
      </c>
      <c r="R45" s="635">
        <f t="shared" si="7"/>
        <v>0.86947097094295833</v>
      </c>
      <c r="S45" s="636">
        <f t="shared" si="7"/>
        <v>961421</v>
      </c>
      <c r="T45" s="636">
        <f t="shared" si="7"/>
        <v>17</v>
      </c>
    </row>
    <row r="46" spans="1:20" s="607" customFormat="1" ht="11.25">
      <c r="A46" s="612" t="s">
        <v>325</v>
      </c>
      <c r="B46" s="613">
        <v>40987</v>
      </c>
      <c r="C46" s="613">
        <v>353</v>
      </c>
      <c r="D46" s="614">
        <v>3348</v>
      </c>
      <c r="E46" s="613">
        <v>4881</v>
      </c>
      <c r="F46" s="613">
        <v>148280</v>
      </c>
      <c r="G46" s="613">
        <v>29684</v>
      </c>
      <c r="H46" s="613">
        <v>718679</v>
      </c>
      <c r="I46" s="613">
        <v>7033</v>
      </c>
      <c r="J46" s="613">
        <v>27613</v>
      </c>
      <c r="K46" s="613">
        <v>13200</v>
      </c>
      <c r="L46" s="613">
        <v>8321</v>
      </c>
      <c r="M46" s="613">
        <v>1002378</v>
      </c>
    </row>
    <row r="47" spans="1:20" s="607" customFormat="1" ht="11.25">
      <c r="A47" s="612" t="s">
        <v>326</v>
      </c>
      <c r="B47" s="615">
        <f>(B45-B46)/B46</f>
        <v>-2.6105838436577453E-3</v>
      </c>
      <c r="C47" s="615">
        <f t="shared" ref="C47:M47" si="8">(C45-C46)/C46</f>
        <v>-0.32011331444759206</v>
      </c>
      <c r="D47" s="615">
        <f t="shared" si="8"/>
        <v>0.3034647550776583</v>
      </c>
      <c r="E47" s="615">
        <f t="shared" si="8"/>
        <v>-4.6097111247695145E-2</v>
      </c>
      <c r="F47" s="615">
        <f t="shared" si="8"/>
        <v>6.6091178850822771E-4</v>
      </c>
      <c r="G47" s="615">
        <f t="shared" si="8"/>
        <v>-0.20566635224363294</v>
      </c>
      <c r="H47" s="615">
        <f t="shared" si="8"/>
        <v>-2.7170683991044681E-2</v>
      </c>
      <c r="I47" s="615">
        <f t="shared" si="8"/>
        <v>-0.16493672685909286</v>
      </c>
      <c r="J47" s="615">
        <f t="shared" si="8"/>
        <v>-0.5698765074421468</v>
      </c>
      <c r="K47" s="615">
        <f t="shared" si="8"/>
        <v>0.11515151515151516</v>
      </c>
      <c r="L47" s="615">
        <f t="shared" si="8"/>
        <v>-7.439009734406922E-2</v>
      </c>
      <c r="M47" s="615">
        <f t="shared" si="8"/>
        <v>-4.0876794981533911E-2</v>
      </c>
    </row>
    <row r="48" spans="1:20" s="607" customFormat="1" ht="11.25">
      <c r="A48" s="612"/>
      <c r="B48" s="615"/>
      <c r="C48" s="615"/>
      <c r="D48" s="615"/>
      <c r="E48" s="615"/>
      <c r="F48" s="615"/>
      <c r="G48" s="615"/>
      <c r="H48" s="615"/>
      <c r="I48" s="615"/>
      <c r="J48" s="615"/>
      <c r="K48" s="615"/>
      <c r="L48" s="615"/>
      <c r="M48" s="615"/>
    </row>
    <row r="49" spans="1:20" s="607" customFormat="1" ht="11.25">
      <c r="A49" s="577" t="s">
        <v>126</v>
      </c>
      <c r="B49" s="631"/>
      <c r="C49" s="631"/>
      <c r="D49" s="631"/>
      <c r="E49" s="631"/>
      <c r="F49" s="631"/>
      <c r="G49" s="631"/>
      <c r="H49" s="631"/>
      <c r="I49" s="631"/>
      <c r="J49" s="631"/>
      <c r="K49" s="631"/>
      <c r="L49" s="631"/>
      <c r="M49" s="631">
        <v>19740</v>
      </c>
      <c r="N49" s="631">
        <v>650</v>
      </c>
      <c r="O49" s="631">
        <v>3185</v>
      </c>
      <c r="P49" s="631">
        <v>15905</v>
      </c>
      <c r="Q49" s="631">
        <f>(10*N49)+(3*O49)+P49</f>
        <v>31960</v>
      </c>
      <c r="R49" s="637">
        <f>SUM(Q49/($Q$45+$Q$57))</f>
        <v>1.6115068446181671E-2</v>
      </c>
      <c r="S49" s="631">
        <f>SUM(N49:P49)</f>
        <v>19740</v>
      </c>
      <c r="T49" s="559">
        <f t="shared" ref="T49:T54" si="9">S49-M49</f>
        <v>0</v>
      </c>
    </row>
    <row r="50" spans="1:20" s="607" customFormat="1" ht="11.25">
      <c r="A50" s="577" t="s">
        <v>124</v>
      </c>
      <c r="B50" s="631"/>
      <c r="C50" s="631"/>
      <c r="D50" s="631"/>
      <c r="E50" s="631"/>
      <c r="F50" s="631"/>
      <c r="G50" s="631"/>
      <c r="H50" s="631"/>
      <c r="I50" s="631"/>
      <c r="J50" s="631"/>
      <c r="K50" s="631"/>
      <c r="L50" s="631"/>
      <c r="M50" s="631">
        <v>2925</v>
      </c>
      <c r="N50" s="631">
        <v>235</v>
      </c>
      <c r="O50" s="631">
        <v>350</v>
      </c>
      <c r="P50" s="631">
        <v>2345</v>
      </c>
      <c r="Q50" s="631">
        <f t="shared" ref="Q50:Q56" si="10">(10*N50)+(3*O50)+P50</f>
        <v>5745</v>
      </c>
      <c r="R50" s="637">
        <f t="shared" ref="R50:R56" si="11">SUM(Q50/($Q$45+$Q$57))</f>
        <v>2.8967793561737705E-3</v>
      </c>
      <c r="S50" s="631">
        <f>SUM(N50:P50)</f>
        <v>2930</v>
      </c>
      <c r="T50" s="559">
        <f t="shared" si="9"/>
        <v>5</v>
      </c>
    </row>
    <row r="51" spans="1:20" s="607" customFormat="1" ht="11.25">
      <c r="A51" s="577" t="s">
        <v>121</v>
      </c>
      <c r="B51" s="631"/>
      <c r="C51" s="631"/>
      <c r="D51" s="631"/>
      <c r="E51" s="631"/>
      <c r="F51" s="631"/>
      <c r="G51" s="631"/>
      <c r="H51" s="631"/>
      <c r="I51" s="631"/>
      <c r="J51" s="631"/>
      <c r="K51" s="631"/>
      <c r="L51" s="631"/>
      <c r="M51" s="631">
        <v>18925</v>
      </c>
      <c r="N51" s="631">
        <v>1130</v>
      </c>
      <c r="O51" s="631">
        <v>5790</v>
      </c>
      <c r="P51" s="631">
        <v>12000</v>
      </c>
      <c r="Q51" s="631">
        <f t="shared" si="10"/>
        <v>40670</v>
      </c>
      <c r="R51" s="637">
        <f t="shared" si="11"/>
        <v>2.050687840132067E-2</v>
      </c>
      <c r="S51" s="631">
        <f>SUM(N51:P51)</f>
        <v>18920</v>
      </c>
      <c r="T51" s="559">
        <f t="shared" si="9"/>
        <v>-5</v>
      </c>
    </row>
    <row r="52" spans="1:20" s="607" customFormat="1" ht="11.25">
      <c r="A52" s="577" t="s">
        <v>112</v>
      </c>
      <c r="B52" s="631"/>
      <c r="C52" s="631"/>
      <c r="D52" s="631"/>
      <c r="E52" s="631"/>
      <c r="F52" s="631"/>
      <c r="G52" s="631"/>
      <c r="H52" s="631"/>
      <c r="I52" s="631"/>
      <c r="J52" s="631"/>
      <c r="K52" s="631"/>
      <c r="L52" s="631"/>
      <c r="M52" s="631">
        <v>33105</v>
      </c>
      <c r="N52" s="631">
        <v>2035</v>
      </c>
      <c r="O52" s="631">
        <v>8905</v>
      </c>
      <c r="P52" s="631">
        <v>22160</v>
      </c>
      <c r="Q52" s="631">
        <f t="shared" si="10"/>
        <v>69225</v>
      </c>
      <c r="R52" s="637">
        <f t="shared" si="11"/>
        <v>3.4905056733007707E-2</v>
      </c>
      <c r="S52" s="631">
        <f>SUM(N52:P52)</f>
        <v>33100</v>
      </c>
      <c r="T52" s="559">
        <f t="shared" si="9"/>
        <v>-5</v>
      </c>
    </row>
    <row r="53" spans="1:20" s="607" customFormat="1" ht="11.25">
      <c r="A53" s="577" t="s">
        <v>123</v>
      </c>
      <c r="B53" s="631"/>
      <c r="C53" s="631"/>
      <c r="D53" s="631"/>
      <c r="E53" s="631"/>
      <c r="F53" s="631"/>
      <c r="G53" s="631"/>
      <c r="H53" s="631"/>
      <c r="I53" s="631"/>
      <c r="J53" s="631"/>
      <c r="K53" s="631"/>
      <c r="L53" s="631"/>
      <c r="M53" s="631">
        <v>12510</v>
      </c>
      <c r="N53" s="631">
        <v>880</v>
      </c>
      <c r="O53" s="631">
        <v>4470</v>
      </c>
      <c r="P53" s="631">
        <v>7155</v>
      </c>
      <c r="Q53" s="631">
        <f t="shared" si="10"/>
        <v>29365</v>
      </c>
      <c r="R53" s="637">
        <f t="shared" si="11"/>
        <v>1.4806601530729812E-2</v>
      </c>
      <c r="S53" s="631">
        <f t="shared" ref="S53:S56" si="12">SUM(N53:P53)</f>
        <v>12505</v>
      </c>
      <c r="T53" s="559">
        <f t="shared" si="9"/>
        <v>-5</v>
      </c>
    </row>
    <row r="54" spans="1:20" s="607" customFormat="1" ht="11.25">
      <c r="A54" s="577" t="s">
        <v>125</v>
      </c>
      <c r="B54" s="631"/>
      <c r="C54" s="631"/>
      <c r="D54" s="631"/>
      <c r="E54" s="631"/>
      <c r="F54" s="631"/>
      <c r="G54" s="631"/>
      <c r="H54" s="631"/>
      <c r="I54" s="631"/>
      <c r="J54" s="631"/>
      <c r="K54" s="631"/>
      <c r="L54" s="631"/>
      <c r="M54" s="631">
        <v>18505</v>
      </c>
      <c r="N54" s="631">
        <v>1125</v>
      </c>
      <c r="O54" s="631">
        <v>2215</v>
      </c>
      <c r="P54" s="631">
        <v>15170</v>
      </c>
      <c r="Q54" s="631">
        <f t="shared" si="10"/>
        <v>33065</v>
      </c>
      <c r="R54" s="637">
        <f t="shared" si="11"/>
        <v>1.6672238365863484E-2</v>
      </c>
      <c r="S54" s="631">
        <f t="shared" si="12"/>
        <v>18510</v>
      </c>
      <c r="T54" s="559">
        <f t="shared" si="9"/>
        <v>5</v>
      </c>
    </row>
    <row r="55" spans="1:20" s="607" customFormat="1" ht="11.25">
      <c r="A55" s="577" t="s">
        <v>120</v>
      </c>
      <c r="B55" s="631"/>
      <c r="C55" s="631"/>
      <c r="D55" s="631"/>
      <c r="E55" s="631"/>
      <c r="F55" s="631"/>
      <c r="G55" s="631"/>
      <c r="H55" s="631"/>
      <c r="I55" s="631"/>
      <c r="J55" s="631"/>
      <c r="K55" s="631"/>
      <c r="L55" s="631"/>
      <c r="M55" s="631">
        <v>9750</v>
      </c>
      <c r="N55" s="631">
        <v>460</v>
      </c>
      <c r="O55" s="631">
        <v>2245</v>
      </c>
      <c r="P55" s="631">
        <v>7045</v>
      </c>
      <c r="Q55" s="631">
        <f>(10*N55)+(3*O55)+P55</f>
        <v>18380</v>
      </c>
      <c r="R55" s="637">
        <f t="shared" si="11"/>
        <v>9.2676770350694337E-3</v>
      </c>
      <c r="S55" s="631">
        <f t="shared" si="12"/>
        <v>9750</v>
      </c>
      <c r="T55" s="559">
        <f t="shared" ref="T55:T56" si="13">S55-M55</f>
        <v>0</v>
      </c>
    </row>
    <row r="56" spans="1:20" s="607" customFormat="1" ht="11.25">
      <c r="A56" s="577" t="s">
        <v>122</v>
      </c>
      <c r="B56" s="631"/>
      <c r="C56" s="631"/>
      <c r="D56" s="631"/>
      <c r="E56" s="631"/>
      <c r="F56" s="631"/>
      <c r="G56" s="631"/>
      <c r="H56" s="631"/>
      <c r="I56" s="631"/>
      <c r="J56" s="631"/>
      <c r="K56" s="631"/>
      <c r="L56" s="631"/>
      <c r="M56" s="631">
        <v>17455</v>
      </c>
      <c r="N56" s="631">
        <v>730</v>
      </c>
      <c r="O56" s="631">
        <v>3215</v>
      </c>
      <c r="P56" s="631">
        <v>13515</v>
      </c>
      <c r="Q56" s="631">
        <f t="shared" si="10"/>
        <v>30460</v>
      </c>
      <c r="R56" s="637">
        <f t="shared" si="11"/>
        <v>1.5358729188695047E-2</v>
      </c>
      <c r="S56" s="631">
        <f t="shared" si="12"/>
        <v>17460</v>
      </c>
      <c r="T56" s="559">
        <f t="shared" si="13"/>
        <v>5</v>
      </c>
    </row>
    <row r="57" spans="1:20" s="607" customFormat="1" ht="11.25">
      <c r="A57" s="567" t="s">
        <v>332</v>
      </c>
      <c r="B57" s="632"/>
      <c r="C57" s="632"/>
      <c r="D57" s="632"/>
      <c r="E57" s="632"/>
      <c r="F57" s="632"/>
      <c r="G57" s="632"/>
      <c r="H57" s="632"/>
      <c r="I57" s="632"/>
      <c r="J57" s="632"/>
      <c r="K57" s="632"/>
      <c r="L57" s="632"/>
      <c r="M57" s="632">
        <f t="shared" ref="M57:T57" si="14">SUM(M49:M56)</f>
        <v>132915</v>
      </c>
      <c r="N57" s="632">
        <f t="shared" si="14"/>
        <v>7245</v>
      </c>
      <c r="O57" s="632">
        <f t="shared" si="14"/>
        <v>30375</v>
      </c>
      <c r="P57" s="632">
        <f t="shared" si="14"/>
        <v>95295</v>
      </c>
      <c r="Q57" s="632">
        <f t="shared" si="14"/>
        <v>258870</v>
      </c>
      <c r="R57" s="638">
        <f t="shared" si="14"/>
        <v>0.13052902905704158</v>
      </c>
      <c r="S57" s="640">
        <f t="shared" si="14"/>
        <v>132915</v>
      </c>
      <c r="T57" s="640">
        <f t="shared" si="14"/>
        <v>0</v>
      </c>
    </row>
    <row r="58" spans="1:20" s="607" customFormat="1" ht="11.25">
      <c r="A58" s="574"/>
      <c r="B58" s="631"/>
      <c r="C58" s="631"/>
      <c r="D58" s="631"/>
      <c r="E58" s="631"/>
      <c r="F58" s="631"/>
      <c r="G58" s="631"/>
      <c r="H58" s="631"/>
      <c r="I58" s="631"/>
      <c r="J58" s="631"/>
      <c r="K58" s="631"/>
      <c r="L58" s="631"/>
      <c r="M58" s="631"/>
      <c r="N58" s="631"/>
      <c r="O58" s="631"/>
      <c r="P58" s="631"/>
      <c r="Q58" s="631"/>
      <c r="R58" s="631"/>
      <c r="S58" s="631"/>
      <c r="T58" s="631"/>
    </row>
    <row r="59" spans="1:20" ht="11.25">
      <c r="A59" s="585" t="s">
        <v>132</v>
      </c>
      <c r="B59" s="633"/>
      <c r="C59" s="633"/>
      <c r="D59" s="634"/>
      <c r="E59" s="633"/>
      <c r="F59" s="633"/>
      <c r="G59" s="633"/>
      <c r="H59" s="633"/>
      <c r="I59" s="633"/>
      <c r="J59" s="633"/>
      <c r="K59" s="633"/>
      <c r="L59" s="633"/>
      <c r="M59" s="633">
        <f t="shared" ref="M59:T59" si="15">SUM(M45,M57)</f>
        <v>1094319</v>
      </c>
      <c r="N59" s="633">
        <f t="shared" si="15"/>
        <v>52781</v>
      </c>
      <c r="O59" s="633">
        <f t="shared" si="15"/>
        <v>206936</v>
      </c>
      <c r="P59" s="633">
        <f t="shared" si="15"/>
        <v>834619</v>
      </c>
      <c r="Q59" s="633">
        <f t="shared" si="15"/>
        <v>1983237</v>
      </c>
      <c r="R59" s="639">
        <f t="shared" si="15"/>
        <v>0.99999999999999989</v>
      </c>
      <c r="S59" s="641">
        <f t="shared" si="15"/>
        <v>1094336</v>
      </c>
      <c r="T59" s="641">
        <f t="shared" si="15"/>
        <v>17</v>
      </c>
    </row>
    <row r="60" spans="1:20" ht="11.25">
      <c r="A60" s="628"/>
    </row>
    <row r="61" spans="1:20" ht="11.25">
      <c r="A61" s="616" t="s">
        <v>327</v>
      </c>
    </row>
    <row r="62" spans="1:20" ht="11.25">
      <c r="A62" s="616" t="s">
        <v>328</v>
      </c>
    </row>
    <row r="63" spans="1:20" ht="11.25">
      <c r="A63" s="616" t="s">
        <v>313</v>
      </c>
    </row>
  </sheetData>
  <autoFilter ref="A4:M4" xr:uid="{00000000-0009-0000-0000-000014000000}">
    <sortState xmlns:xlrd2="http://schemas.microsoft.com/office/spreadsheetml/2017/richdata2" ref="A5:M43">
      <sortCondition ref="A4"/>
    </sortState>
  </autoFilter>
  <hyperlinks>
    <hyperlink ref="A1" location="Index!A1" display="&lt; Back to Contents &gt;" xr:uid="{00000000-0004-0000-1400-000000000000}"/>
    <hyperlink ref="R1" location="'Ave weight 1996-2013'!_FilterDatabase" display="Ave weight 1996-2013" xr:uid="{00000000-0004-0000-1400-000001000000}"/>
  </hyperlinks>
  <pageMargins left="0.39370078740157483" right="0.31496062992125984" top="0.59055118110236227" bottom="0.39370078740157483" header="0" footer="0"/>
  <pageSetup scale="64" orientation="landscape" r:id="rId1"/>
  <headerFooter alignWithMargins="0"/>
  <ignoredErrors>
    <ignoredError sqref="P5:P32 P33:P43 S53:S54 S55:S56" formulaRange="1"/>
  </ignoredError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63"/>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activeCell="N46" sqref="N46"/>
    </sheetView>
  </sheetViews>
  <sheetFormatPr defaultColWidth="9.140625" defaultRowHeight="15" customHeight="1"/>
  <cols>
    <col min="1" max="1" width="25.28515625" style="616" customWidth="1"/>
    <col min="2" max="3" width="9.140625" style="601" bestFit="1" customWidth="1"/>
    <col min="4" max="4" width="7.85546875" style="602" bestFit="1" customWidth="1"/>
    <col min="5" max="6" width="8.42578125" style="601" bestFit="1" customWidth="1"/>
    <col min="7" max="7" width="9.42578125" style="601" bestFit="1" customWidth="1"/>
    <col min="8" max="8" width="6.42578125" style="601" bestFit="1" customWidth="1"/>
    <col min="9" max="9" width="7.42578125" style="601" bestFit="1" customWidth="1"/>
    <col min="10" max="10" width="10.28515625" style="601" bestFit="1" customWidth="1"/>
    <col min="11" max="11" width="6.42578125" style="601" bestFit="1" customWidth="1"/>
    <col min="12" max="12" width="7.7109375" style="601" bestFit="1" customWidth="1"/>
    <col min="13" max="13" width="8.85546875" style="601" bestFit="1" customWidth="1"/>
    <col min="14" max="14" width="7" style="601" bestFit="1" customWidth="1"/>
    <col min="15" max="16" width="6.42578125" style="601" bestFit="1" customWidth="1"/>
    <col min="17" max="20" width="9.28515625" style="601" bestFit="1" customWidth="1"/>
    <col min="21" max="256" width="9.140625" style="601"/>
    <col min="257" max="257" width="64.85546875" style="601" customWidth="1"/>
    <col min="258" max="260" width="11.28515625" style="601" customWidth="1"/>
    <col min="261" max="261" width="10.28515625" style="601" customWidth="1"/>
    <col min="262" max="262" width="11.140625" style="601" customWidth="1"/>
    <col min="263" max="263" width="11.7109375" style="601" customWidth="1"/>
    <col min="264" max="264" width="9.140625" style="601" customWidth="1"/>
    <col min="265" max="265" width="9" style="601" customWidth="1"/>
    <col min="266" max="266" width="13.42578125" style="601" customWidth="1"/>
    <col min="267" max="267" width="8.140625" style="601" customWidth="1"/>
    <col min="268" max="269" width="9.42578125" style="601" customWidth="1"/>
    <col min="270" max="512" width="9.140625" style="601"/>
    <col min="513" max="513" width="64.85546875" style="601" customWidth="1"/>
    <col min="514" max="516" width="11.28515625" style="601" customWidth="1"/>
    <col min="517" max="517" width="10.28515625" style="601" customWidth="1"/>
    <col min="518" max="518" width="11.140625" style="601" customWidth="1"/>
    <col min="519" max="519" width="11.7109375" style="601" customWidth="1"/>
    <col min="520" max="520" width="9.140625" style="601" customWidth="1"/>
    <col min="521" max="521" width="9" style="601" customWidth="1"/>
    <col min="522" max="522" width="13.42578125" style="601" customWidth="1"/>
    <col min="523" max="523" width="8.140625" style="601" customWidth="1"/>
    <col min="524" max="525" width="9.42578125" style="601" customWidth="1"/>
    <col min="526" max="768" width="9.140625" style="601"/>
    <col min="769" max="769" width="64.85546875" style="601" customWidth="1"/>
    <col min="770" max="772" width="11.28515625" style="601" customWidth="1"/>
    <col min="773" max="773" width="10.28515625" style="601" customWidth="1"/>
    <col min="774" max="774" width="11.140625" style="601" customWidth="1"/>
    <col min="775" max="775" width="11.7109375" style="601" customWidth="1"/>
    <col min="776" max="776" width="9.140625" style="601" customWidth="1"/>
    <col min="777" max="777" width="9" style="601" customWidth="1"/>
    <col min="778" max="778" width="13.42578125" style="601" customWidth="1"/>
    <col min="779" max="779" width="8.140625" style="601" customWidth="1"/>
    <col min="780" max="781" width="9.42578125" style="601" customWidth="1"/>
    <col min="782" max="1024" width="9.140625" style="601"/>
    <col min="1025" max="1025" width="64.85546875" style="601" customWidth="1"/>
    <col min="1026" max="1028" width="11.28515625" style="601" customWidth="1"/>
    <col min="1029" max="1029" width="10.28515625" style="601" customWidth="1"/>
    <col min="1030" max="1030" width="11.140625" style="601" customWidth="1"/>
    <col min="1031" max="1031" width="11.7109375" style="601" customWidth="1"/>
    <col min="1032" max="1032" width="9.140625" style="601" customWidth="1"/>
    <col min="1033" max="1033" width="9" style="601" customWidth="1"/>
    <col min="1034" max="1034" width="13.42578125" style="601" customWidth="1"/>
    <col min="1035" max="1035" width="8.140625" style="601" customWidth="1"/>
    <col min="1036" max="1037" width="9.42578125" style="601" customWidth="1"/>
    <col min="1038" max="1280" width="9.140625" style="601"/>
    <col min="1281" max="1281" width="64.85546875" style="601" customWidth="1"/>
    <col min="1282" max="1284" width="11.28515625" style="601" customWidth="1"/>
    <col min="1285" max="1285" width="10.28515625" style="601" customWidth="1"/>
    <col min="1286" max="1286" width="11.140625" style="601" customWidth="1"/>
    <col min="1287" max="1287" width="11.7109375" style="601" customWidth="1"/>
    <col min="1288" max="1288" width="9.140625" style="601" customWidth="1"/>
    <col min="1289" max="1289" width="9" style="601" customWidth="1"/>
    <col min="1290" max="1290" width="13.42578125" style="601" customWidth="1"/>
    <col min="1291" max="1291" width="8.140625" style="601" customWidth="1"/>
    <col min="1292" max="1293" width="9.42578125" style="601" customWidth="1"/>
    <col min="1294" max="1536" width="9.140625" style="601"/>
    <col min="1537" max="1537" width="64.85546875" style="601" customWidth="1"/>
    <col min="1538" max="1540" width="11.28515625" style="601" customWidth="1"/>
    <col min="1541" max="1541" width="10.28515625" style="601" customWidth="1"/>
    <col min="1542" max="1542" width="11.140625" style="601" customWidth="1"/>
    <col min="1543" max="1543" width="11.7109375" style="601" customWidth="1"/>
    <col min="1544" max="1544" width="9.140625" style="601" customWidth="1"/>
    <col min="1545" max="1545" width="9" style="601" customWidth="1"/>
    <col min="1546" max="1546" width="13.42578125" style="601" customWidth="1"/>
    <col min="1547" max="1547" width="8.140625" style="601" customWidth="1"/>
    <col min="1548" max="1549" width="9.42578125" style="601" customWidth="1"/>
    <col min="1550" max="1792" width="9.140625" style="601"/>
    <col min="1793" max="1793" width="64.85546875" style="601" customWidth="1"/>
    <col min="1794" max="1796" width="11.28515625" style="601" customWidth="1"/>
    <col min="1797" max="1797" width="10.28515625" style="601" customWidth="1"/>
    <col min="1798" max="1798" width="11.140625" style="601" customWidth="1"/>
    <col min="1799" max="1799" width="11.7109375" style="601" customWidth="1"/>
    <col min="1800" max="1800" width="9.140625" style="601" customWidth="1"/>
    <col min="1801" max="1801" width="9" style="601" customWidth="1"/>
    <col min="1802" max="1802" width="13.42578125" style="601" customWidth="1"/>
    <col min="1803" max="1803" width="8.140625" style="601" customWidth="1"/>
    <col min="1804" max="1805" width="9.42578125" style="601" customWidth="1"/>
    <col min="1806" max="2048" width="9.140625" style="601"/>
    <col min="2049" max="2049" width="64.85546875" style="601" customWidth="1"/>
    <col min="2050" max="2052" width="11.28515625" style="601" customWidth="1"/>
    <col min="2053" max="2053" width="10.28515625" style="601" customWidth="1"/>
    <col min="2054" max="2054" width="11.140625" style="601" customWidth="1"/>
    <col min="2055" max="2055" width="11.7109375" style="601" customWidth="1"/>
    <col min="2056" max="2056" width="9.140625" style="601" customWidth="1"/>
    <col min="2057" max="2057" width="9" style="601" customWidth="1"/>
    <col min="2058" max="2058" width="13.42578125" style="601" customWidth="1"/>
    <col min="2059" max="2059" width="8.140625" style="601" customWidth="1"/>
    <col min="2060" max="2061" width="9.42578125" style="601" customWidth="1"/>
    <col min="2062" max="2304" width="9.140625" style="601"/>
    <col min="2305" max="2305" width="64.85546875" style="601" customWidth="1"/>
    <col min="2306" max="2308" width="11.28515625" style="601" customWidth="1"/>
    <col min="2309" max="2309" width="10.28515625" style="601" customWidth="1"/>
    <col min="2310" max="2310" width="11.140625" style="601" customWidth="1"/>
    <col min="2311" max="2311" width="11.7109375" style="601" customWidth="1"/>
    <col min="2312" max="2312" width="9.140625" style="601" customWidth="1"/>
    <col min="2313" max="2313" width="9" style="601" customWidth="1"/>
    <col min="2314" max="2314" width="13.42578125" style="601" customWidth="1"/>
    <col min="2315" max="2315" width="8.140625" style="601" customWidth="1"/>
    <col min="2316" max="2317" width="9.42578125" style="601" customWidth="1"/>
    <col min="2318" max="2560" width="9.140625" style="601"/>
    <col min="2561" max="2561" width="64.85546875" style="601" customWidth="1"/>
    <col min="2562" max="2564" width="11.28515625" style="601" customWidth="1"/>
    <col min="2565" max="2565" width="10.28515625" style="601" customWidth="1"/>
    <col min="2566" max="2566" width="11.140625" style="601" customWidth="1"/>
    <col min="2567" max="2567" width="11.7109375" style="601" customWidth="1"/>
    <col min="2568" max="2568" width="9.140625" style="601" customWidth="1"/>
    <col min="2569" max="2569" width="9" style="601" customWidth="1"/>
    <col min="2570" max="2570" width="13.42578125" style="601" customWidth="1"/>
    <col min="2571" max="2571" width="8.140625" style="601" customWidth="1"/>
    <col min="2572" max="2573" width="9.42578125" style="601" customWidth="1"/>
    <col min="2574" max="2816" width="9.140625" style="601"/>
    <col min="2817" max="2817" width="64.85546875" style="601" customWidth="1"/>
    <col min="2818" max="2820" width="11.28515625" style="601" customWidth="1"/>
    <col min="2821" max="2821" width="10.28515625" style="601" customWidth="1"/>
    <col min="2822" max="2822" width="11.140625" style="601" customWidth="1"/>
    <col min="2823" max="2823" width="11.7109375" style="601" customWidth="1"/>
    <col min="2824" max="2824" width="9.140625" style="601" customWidth="1"/>
    <col min="2825" max="2825" width="9" style="601" customWidth="1"/>
    <col min="2826" max="2826" width="13.42578125" style="601" customWidth="1"/>
    <col min="2827" max="2827" width="8.140625" style="601" customWidth="1"/>
    <col min="2828" max="2829" width="9.42578125" style="601" customWidth="1"/>
    <col min="2830" max="3072" width="9.140625" style="601"/>
    <col min="3073" max="3073" width="64.85546875" style="601" customWidth="1"/>
    <col min="3074" max="3076" width="11.28515625" style="601" customWidth="1"/>
    <col min="3077" max="3077" width="10.28515625" style="601" customWidth="1"/>
    <col min="3078" max="3078" width="11.140625" style="601" customWidth="1"/>
    <col min="3079" max="3079" width="11.7109375" style="601" customWidth="1"/>
    <col min="3080" max="3080" width="9.140625" style="601" customWidth="1"/>
    <col min="3081" max="3081" width="9" style="601" customWidth="1"/>
    <col min="3082" max="3082" width="13.42578125" style="601" customWidth="1"/>
    <col min="3083" max="3083" width="8.140625" style="601" customWidth="1"/>
    <col min="3084" max="3085" width="9.42578125" style="601" customWidth="1"/>
    <col min="3086" max="3328" width="9.140625" style="601"/>
    <col min="3329" max="3329" width="64.85546875" style="601" customWidth="1"/>
    <col min="3330" max="3332" width="11.28515625" style="601" customWidth="1"/>
    <col min="3333" max="3333" width="10.28515625" style="601" customWidth="1"/>
    <col min="3334" max="3334" width="11.140625" style="601" customWidth="1"/>
    <col min="3335" max="3335" width="11.7109375" style="601" customWidth="1"/>
    <col min="3336" max="3336" width="9.140625" style="601" customWidth="1"/>
    <col min="3337" max="3337" width="9" style="601" customWidth="1"/>
    <col min="3338" max="3338" width="13.42578125" style="601" customWidth="1"/>
    <col min="3339" max="3339" width="8.140625" style="601" customWidth="1"/>
    <col min="3340" max="3341" width="9.42578125" style="601" customWidth="1"/>
    <col min="3342" max="3584" width="9.140625" style="601"/>
    <col min="3585" max="3585" width="64.85546875" style="601" customWidth="1"/>
    <col min="3586" max="3588" width="11.28515625" style="601" customWidth="1"/>
    <col min="3589" max="3589" width="10.28515625" style="601" customWidth="1"/>
    <col min="3590" max="3590" width="11.140625" style="601" customWidth="1"/>
    <col min="3591" max="3591" width="11.7109375" style="601" customWidth="1"/>
    <col min="3592" max="3592" width="9.140625" style="601" customWidth="1"/>
    <col min="3593" max="3593" width="9" style="601" customWidth="1"/>
    <col min="3594" max="3594" width="13.42578125" style="601" customWidth="1"/>
    <col min="3595" max="3595" width="8.140625" style="601" customWidth="1"/>
    <col min="3596" max="3597" width="9.42578125" style="601" customWidth="1"/>
    <col min="3598" max="3840" width="9.140625" style="601"/>
    <col min="3841" max="3841" width="64.85546875" style="601" customWidth="1"/>
    <col min="3842" max="3844" width="11.28515625" style="601" customWidth="1"/>
    <col min="3845" max="3845" width="10.28515625" style="601" customWidth="1"/>
    <col min="3846" max="3846" width="11.140625" style="601" customWidth="1"/>
    <col min="3847" max="3847" width="11.7109375" style="601" customWidth="1"/>
    <col min="3848" max="3848" width="9.140625" style="601" customWidth="1"/>
    <col min="3849" max="3849" width="9" style="601" customWidth="1"/>
    <col min="3850" max="3850" width="13.42578125" style="601" customWidth="1"/>
    <col min="3851" max="3851" width="8.140625" style="601" customWidth="1"/>
    <col min="3852" max="3853" width="9.42578125" style="601" customWidth="1"/>
    <col min="3854" max="4096" width="9.140625" style="601"/>
    <col min="4097" max="4097" width="64.85546875" style="601" customWidth="1"/>
    <col min="4098" max="4100" width="11.28515625" style="601" customWidth="1"/>
    <col min="4101" max="4101" width="10.28515625" style="601" customWidth="1"/>
    <col min="4102" max="4102" width="11.140625" style="601" customWidth="1"/>
    <col min="4103" max="4103" width="11.7109375" style="601" customWidth="1"/>
    <col min="4104" max="4104" width="9.140625" style="601" customWidth="1"/>
    <col min="4105" max="4105" width="9" style="601" customWidth="1"/>
    <col min="4106" max="4106" width="13.42578125" style="601" customWidth="1"/>
    <col min="4107" max="4107" width="8.140625" style="601" customWidth="1"/>
    <col min="4108" max="4109" width="9.42578125" style="601" customWidth="1"/>
    <col min="4110" max="4352" width="9.140625" style="601"/>
    <col min="4353" max="4353" width="64.85546875" style="601" customWidth="1"/>
    <col min="4354" max="4356" width="11.28515625" style="601" customWidth="1"/>
    <col min="4357" max="4357" width="10.28515625" style="601" customWidth="1"/>
    <col min="4358" max="4358" width="11.140625" style="601" customWidth="1"/>
    <col min="4359" max="4359" width="11.7109375" style="601" customWidth="1"/>
    <col min="4360" max="4360" width="9.140625" style="601" customWidth="1"/>
    <col min="4361" max="4361" width="9" style="601" customWidth="1"/>
    <col min="4362" max="4362" width="13.42578125" style="601" customWidth="1"/>
    <col min="4363" max="4363" width="8.140625" style="601" customWidth="1"/>
    <col min="4364" max="4365" width="9.42578125" style="601" customWidth="1"/>
    <col min="4366" max="4608" width="9.140625" style="601"/>
    <col min="4609" max="4609" width="64.85546875" style="601" customWidth="1"/>
    <col min="4610" max="4612" width="11.28515625" style="601" customWidth="1"/>
    <col min="4613" max="4613" width="10.28515625" style="601" customWidth="1"/>
    <col min="4614" max="4614" width="11.140625" style="601" customWidth="1"/>
    <col min="4615" max="4615" width="11.7109375" style="601" customWidth="1"/>
    <col min="4616" max="4616" width="9.140625" style="601" customWidth="1"/>
    <col min="4617" max="4617" width="9" style="601" customWidth="1"/>
    <col min="4618" max="4618" width="13.42578125" style="601" customWidth="1"/>
    <col min="4619" max="4619" width="8.140625" style="601" customWidth="1"/>
    <col min="4620" max="4621" width="9.42578125" style="601" customWidth="1"/>
    <col min="4622" max="4864" width="9.140625" style="601"/>
    <col min="4865" max="4865" width="64.85546875" style="601" customWidth="1"/>
    <col min="4866" max="4868" width="11.28515625" style="601" customWidth="1"/>
    <col min="4869" max="4869" width="10.28515625" style="601" customWidth="1"/>
    <col min="4870" max="4870" width="11.140625" style="601" customWidth="1"/>
    <col min="4871" max="4871" width="11.7109375" style="601" customWidth="1"/>
    <col min="4872" max="4872" width="9.140625" style="601" customWidth="1"/>
    <col min="4873" max="4873" width="9" style="601" customWidth="1"/>
    <col min="4874" max="4874" width="13.42578125" style="601" customWidth="1"/>
    <col min="4875" max="4875" width="8.140625" style="601" customWidth="1"/>
    <col min="4876" max="4877" width="9.42578125" style="601" customWidth="1"/>
    <col min="4878" max="5120" width="9.140625" style="601"/>
    <col min="5121" max="5121" width="64.85546875" style="601" customWidth="1"/>
    <col min="5122" max="5124" width="11.28515625" style="601" customWidth="1"/>
    <col min="5125" max="5125" width="10.28515625" style="601" customWidth="1"/>
    <col min="5126" max="5126" width="11.140625" style="601" customWidth="1"/>
    <col min="5127" max="5127" width="11.7109375" style="601" customWidth="1"/>
    <col min="5128" max="5128" width="9.140625" style="601" customWidth="1"/>
    <col min="5129" max="5129" width="9" style="601" customWidth="1"/>
    <col min="5130" max="5130" width="13.42578125" style="601" customWidth="1"/>
    <col min="5131" max="5131" width="8.140625" style="601" customWidth="1"/>
    <col min="5132" max="5133" width="9.42578125" style="601" customWidth="1"/>
    <col min="5134" max="5376" width="9.140625" style="601"/>
    <col min="5377" max="5377" width="64.85546875" style="601" customWidth="1"/>
    <col min="5378" max="5380" width="11.28515625" style="601" customWidth="1"/>
    <col min="5381" max="5381" width="10.28515625" style="601" customWidth="1"/>
    <col min="5382" max="5382" width="11.140625" style="601" customWidth="1"/>
    <col min="5383" max="5383" width="11.7109375" style="601" customWidth="1"/>
    <col min="5384" max="5384" width="9.140625" style="601" customWidth="1"/>
    <col min="5385" max="5385" width="9" style="601" customWidth="1"/>
    <col min="5386" max="5386" width="13.42578125" style="601" customWidth="1"/>
    <col min="5387" max="5387" width="8.140625" style="601" customWidth="1"/>
    <col min="5388" max="5389" width="9.42578125" style="601" customWidth="1"/>
    <col min="5390" max="5632" width="9.140625" style="601"/>
    <col min="5633" max="5633" width="64.85546875" style="601" customWidth="1"/>
    <col min="5634" max="5636" width="11.28515625" style="601" customWidth="1"/>
    <col min="5637" max="5637" width="10.28515625" style="601" customWidth="1"/>
    <col min="5638" max="5638" width="11.140625" style="601" customWidth="1"/>
    <col min="5639" max="5639" width="11.7109375" style="601" customWidth="1"/>
    <col min="5640" max="5640" width="9.140625" style="601" customWidth="1"/>
    <col min="5641" max="5641" width="9" style="601" customWidth="1"/>
    <col min="5642" max="5642" width="13.42578125" style="601" customWidth="1"/>
    <col min="5643" max="5643" width="8.140625" style="601" customWidth="1"/>
    <col min="5644" max="5645" width="9.42578125" style="601" customWidth="1"/>
    <col min="5646" max="5888" width="9.140625" style="601"/>
    <col min="5889" max="5889" width="64.85546875" style="601" customWidth="1"/>
    <col min="5890" max="5892" width="11.28515625" style="601" customWidth="1"/>
    <col min="5893" max="5893" width="10.28515625" style="601" customWidth="1"/>
    <col min="5894" max="5894" width="11.140625" style="601" customWidth="1"/>
    <col min="5895" max="5895" width="11.7109375" style="601" customWidth="1"/>
    <col min="5896" max="5896" width="9.140625" style="601" customWidth="1"/>
    <col min="5897" max="5897" width="9" style="601" customWidth="1"/>
    <col min="5898" max="5898" width="13.42578125" style="601" customWidth="1"/>
    <col min="5899" max="5899" width="8.140625" style="601" customWidth="1"/>
    <col min="5900" max="5901" width="9.42578125" style="601" customWidth="1"/>
    <col min="5902" max="6144" width="9.140625" style="601"/>
    <col min="6145" max="6145" width="64.85546875" style="601" customWidth="1"/>
    <col min="6146" max="6148" width="11.28515625" style="601" customWidth="1"/>
    <col min="6149" max="6149" width="10.28515625" style="601" customWidth="1"/>
    <col min="6150" max="6150" width="11.140625" style="601" customWidth="1"/>
    <col min="6151" max="6151" width="11.7109375" style="601" customWidth="1"/>
    <col min="6152" max="6152" width="9.140625" style="601" customWidth="1"/>
    <col min="6153" max="6153" width="9" style="601" customWidth="1"/>
    <col min="6154" max="6154" width="13.42578125" style="601" customWidth="1"/>
    <col min="6155" max="6155" width="8.140625" style="601" customWidth="1"/>
    <col min="6156" max="6157" width="9.42578125" style="601" customWidth="1"/>
    <col min="6158" max="6400" width="9.140625" style="601"/>
    <col min="6401" max="6401" width="64.85546875" style="601" customWidth="1"/>
    <col min="6402" max="6404" width="11.28515625" style="601" customWidth="1"/>
    <col min="6405" max="6405" width="10.28515625" style="601" customWidth="1"/>
    <col min="6406" max="6406" width="11.140625" style="601" customWidth="1"/>
    <col min="6407" max="6407" width="11.7109375" style="601" customWidth="1"/>
    <col min="6408" max="6408" width="9.140625" style="601" customWidth="1"/>
    <col min="6409" max="6409" width="9" style="601" customWidth="1"/>
    <col min="6410" max="6410" width="13.42578125" style="601" customWidth="1"/>
    <col min="6411" max="6411" width="8.140625" style="601" customWidth="1"/>
    <col min="6412" max="6413" width="9.42578125" style="601" customWidth="1"/>
    <col min="6414" max="6656" width="9.140625" style="601"/>
    <col min="6657" max="6657" width="64.85546875" style="601" customWidth="1"/>
    <col min="6658" max="6660" width="11.28515625" style="601" customWidth="1"/>
    <col min="6661" max="6661" width="10.28515625" style="601" customWidth="1"/>
    <col min="6662" max="6662" width="11.140625" style="601" customWidth="1"/>
    <col min="6663" max="6663" width="11.7109375" style="601" customWidth="1"/>
    <col min="6664" max="6664" width="9.140625" style="601" customWidth="1"/>
    <col min="6665" max="6665" width="9" style="601" customWidth="1"/>
    <col min="6666" max="6666" width="13.42578125" style="601" customWidth="1"/>
    <col min="6667" max="6667" width="8.140625" style="601" customWidth="1"/>
    <col min="6668" max="6669" width="9.42578125" style="601" customWidth="1"/>
    <col min="6670" max="6912" width="9.140625" style="601"/>
    <col min="6913" max="6913" width="64.85546875" style="601" customWidth="1"/>
    <col min="6914" max="6916" width="11.28515625" style="601" customWidth="1"/>
    <col min="6917" max="6917" width="10.28515625" style="601" customWidth="1"/>
    <col min="6918" max="6918" width="11.140625" style="601" customWidth="1"/>
    <col min="6919" max="6919" width="11.7109375" style="601" customWidth="1"/>
    <col min="6920" max="6920" width="9.140625" style="601" customWidth="1"/>
    <col min="6921" max="6921" width="9" style="601" customWidth="1"/>
    <col min="6922" max="6922" width="13.42578125" style="601" customWidth="1"/>
    <col min="6923" max="6923" width="8.140625" style="601" customWidth="1"/>
    <col min="6924" max="6925" width="9.42578125" style="601" customWidth="1"/>
    <col min="6926" max="7168" width="9.140625" style="601"/>
    <col min="7169" max="7169" width="64.85546875" style="601" customWidth="1"/>
    <col min="7170" max="7172" width="11.28515625" style="601" customWidth="1"/>
    <col min="7173" max="7173" width="10.28515625" style="601" customWidth="1"/>
    <col min="7174" max="7174" width="11.140625" style="601" customWidth="1"/>
    <col min="7175" max="7175" width="11.7109375" style="601" customWidth="1"/>
    <col min="7176" max="7176" width="9.140625" style="601" customWidth="1"/>
    <col min="7177" max="7177" width="9" style="601" customWidth="1"/>
    <col min="7178" max="7178" width="13.42578125" style="601" customWidth="1"/>
    <col min="7179" max="7179" width="8.140625" style="601" customWidth="1"/>
    <col min="7180" max="7181" width="9.42578125" style="601" customWidth="1"/>
    <col min="7182" max="7424" width="9.140625" style="601"/>
    <col min="7425" max="7425" width="64.85546875" style="601" customWidth="1"/>
    <col min="7426" max="7428" width="11.28515625" style="601" customWidth="1"/>
    <col min="7429" max="7429" width="10.28515625" style="601" customWidth="1"/>
    <col min="7430" max="7430" width="11.140625" style="601" customWidth="1"/>
    <col min="7431" max="7431" width="11.7109375" style="601" customWidth="1"/>
    <col min="7432" max="7432" width="9.140625" style="601" customWidth="1"/>
    <col min="7433" max="7433" width="9" style="601" customWidth="1"/>
    <col min="7434" max="7434" width="13.42578125" style="601" customWidth="1"/>
    <col min="7435" max="7435" width="8.140625" style="601" customWidth="1"/>
    <col min="7436" max="7437" width="9.42578125" style="601" customWidth="1"/>
    <col min="7438" max="7680" width="9.140625" style="601"/>
    <col min="7681" max="7681" width="64.85546875" style="601" customWidth="1"/>
    <col min="7682" max="7684" width="11.28515625" style="601" customWidth="1"/>
    <col min="7685" max="7685" width="10.28515625" style="601" customWidth="1"/>
    <col min="7686" max="7686" width="11.140625" style="601" customWidth="1"/>
    <col min="7687" max="7687" width="11.7109375" style="601" customWidth="1"/>
    <col min="7688" max="7688" width="9.140625" style="601" customWidth="1"/>
    <col min="7689" max="7689" width="9" style="601" customWidth="1"/>
    <col min="7690" max="7690" width="13.42578125" style="601" customWidth="1"/>
    <col min="7691" max="7691" width="8.140625" style="601" customWidth="1"/>
    <col min="7692" max="7693" width="9.42578125" style="601" customWidth="1"/>
    <col min="7694" max="7936" width="9.140625" style="601"/>
    <col min="7937" max="7937" width="64.85546875" style="601" customWidth="1"/>
    <col min="7938" max="7940" width="11.28515625" style="601" customWidth="1"/>
    <col min="7941" max="7941" width="10.28515625" style="601" customWidth="1"/>
    <col min="7942" max="7942" width="11.140625" style="601" customWidth="1"/>
    <col min="7943" max="7943" width="11.7109375" style="601" customWidth="1"/>
    <col min="7944" max="7944" width="9.140625" style="601" customWidth="1"/>
    <col min="7945" max="7945" width="9" style="601" customWidth="1"/>
    <col min="7946" max="7946" width="13.42578125" style="601" customWidth="1"/>
    <col min="7947" max="7947" width="8.140625" style="601" customWidth="1"/>
    <col min="7948" max="7949" width="9.42578125" style="601" customWidth="1"/>
    <col min="7950" max="8192" width="9.140625" style="601"/>
    <col min="8193" max="8193" width="64.85546875" style="601" customWidth="1"/>
    <col min="8194" max="8196" width="11.28515625" style="601" customWidth="1"/>
    <col min="8197" max="8197" width="10.28515625" style="601" customWidth="1"/>
    <col min="8198" max="8198" width="11.140625" style="601" customWidth="1"/>
    <col min="8199" max="8199" width="11.7109375" style="601" customWidth="1"/>
    <col min="8200" max="8200" width="9.140625" style="601" customWidth="1"/>
    <col min="8201" max="8201" width="9" style="601" customWidth="1"/>
    <col min="8202" max="8202" width="13.42578125" style="601" customWidth="1"/>
    <col min="8203" max="8203" width="8.140625" style="601" customWidth="1"/>
    <col min="8204" max="8205" width="9.42578125" style="601" customWidth="1"/>
    <col min="8206" max="8448" width="9.140625" style="601"/>
    <col min="8449" max="8449" width="64.85546875" style="601" customWidth="1"/>
    <col min="8450" max="8452" width="11.28515625" style="601" customWidth="1"/>
    <col min="8453" max="8453" width="10.28515625" style="601" customWidth="1"/>
    <col min="8454" max="8454" width="11.140625" style="601" customWidth="1"/>
    <col min="8455" max="8455" width="11.7109375" style="601" customWidth="1"/>
    <col min="8456" max="8456" width="9.140625" style="601" customWidth="1"/>
    <col min="8457" max="8457" width="9" style="601" customWidth="1"/>
    <col min="8458" max="8458" width="13.42578125" style="601" customWidth="1"/>
    <col min="8459" max="8459" width="8.140625" style="601" customWidth="1"/>
    <col min="8460" max="8461" width="9.42578125" style="601" customWidth="1"/>
    <col min="8462" max="8704" width="9.140625" style="601"/>
    <col min="8705" max="8705" width="64.85546875" style="601" customWidth="1"/>
    <col min="8706" max="8708" width="11.28515625" style="601" customWidth="1"/>
    <col min="8709" max="8709" width="10.28515625" style="601" customWidth="1"/>
    <col min="8710" max="8710" width="11.140625" style="601" customWidth="1"/>
    <col min="8711" max="8711" width="11.7109375" style="601" customWidth="1"/>
    <col min="8712" max="8712" width="9.140625" style="601" customWidth="1"/>
    <col min="8713" max="8713" width="9" style="601" customWidth="1"/>
    <col min="8714" max="8714" width="13.42578125" style="601" customWidth="1"/>
    <col min="8715" max="8715" width="8.140625" style="601" customWidth="1"/>
    <col min="8716" max="8717" width="9.42578125" style="601" customWidth="1"/>
    <col min="8718" max="8960" width="9.140625" style="601"/>
    <col min="8961" max="8961" width="64.85546875" style="601" customWidth="1"/>
    <col min="8962" max="8964" width="11.28515625" style="601" customWidth="1"/>
    <col min="8965" max="8965" width="10.28515625" style="601" customWidth="1"/>
    <col min="8966" max="8966" width="11.140625" style="601" customWidth="1"/>
    <col min="8967" max="8967" width="11.7109375" style="601" customWidth="1"/>
    <col min="8968" max="8968" width="9.140625" style="601" customWidth="1"/>
    <col min="8969" max="8969" width="9" style="601" customWidth="1"/>
    <col min="8970" max="8970" width="13.42578125" style="601" customWidth="1"/>
    <col min="8971" max="8971" width="8.140625" style="601" customWidth="1"/>
    <col min="8972" max="8973" width="9.42578125" style="601" customWidth="1"/>
    <col min="8974" max="9216" width="9.140625" style="601"/>
    <col min="9217" max="9217" width="64.85546875" style="601" customWidth="1"/>
    <col min="9218" max="9220" width="11.28515625" style="601" customWidth="1"/>
    <col min="9221" max="9221" width="10.28515625" style="601" customWidth="1"/>
    <col min="9222" max="9222" width="11.140625" style="601" customWidth="1"/>
    <col min="9223" max="9223" width="11.7109375" style="601" customWidth="1"/>
    <col min="9224" max="9224" width="9.140625" style="601" customWidth="1"/>
    <col min="9225" max="9225" width="9" style="601" customWidth="1"/>
    <col min="9226" max="9226" width="13.42578125" style="601" customWidth="1"/>
    <col min="9227" max="9227" width="8.140625" style="601" customWidth="1"/>
    <col min="9228" max="9229" width="9.42578125" style="601" customWidth="1"/>
    <col min="9230" max="9472" width="9.140625" style="601"/>
    <col min="9473" max="9473" width="64.85546875" style="601" customWidth="1"/>
    <col min="9474" max="9476" width="11.28515625" style="601" customWidth="1"/>
    <col min="9477" max="9477" width="10.28515625" style="601" customWidth="1"/>
    <col min="9478" max="9478" width="11.140625" style="601" customWidth="1"/>
    <col min="9479" max="9479" width="11.7109375" style="601" customWidth="1"/>
    <col min="9480" max="9480" width="9.140625" style="601" customWidth="1"/>
    <col min="9481" max="9481" width="9" style="601" customWidth="1"/>
    <col min="9482" max="9482" width="13.42578125" style="601" customWidth="1"/>
    <col min="9483" max="9483" width="8.140625" style="601" customWidth="1"/>
    <col min="9484" max="9485" width="9.42578125" style="601" customWidth="1"/>
    <col min="9486" max="9728" width="9.140625" style="601"/>
    <col min="9729" max="9729" width="64.85546875" style="601" customWidth="1"/>
    <col min="9730" max="9732" width="11.28515625" style="601" customWidth="1"/>
    <col min="9733" max="9733" width="10.28515625" style="601" customWidth="1"/>
    <col min="9734" max="9734" width="11.140625" style="601" customWidth="1"/>
    <col min="9735" max="9735" width="11.7109375" style="601" customWidth="1"/>
    <col min="9736" max="9736" width="9.140625" style="601" customWidth="1"/>
    <col min="9737" max="9737" width="9" style="601" customWidth="1"/>
    <col min="9738" max="9738" width="13.42578125" style="601" customWidth="1"/>
    <col min="9739" max="9739" width="8.140625" style="601" customWidth="1"/>
    <col min="9740" max="9741" width="9.42578125" style="601" customWidth="1"/>
    <col min="9742" max="9984" width="9.140625" style="601"/>
    <col min="9985" max="9985" width="64.85546875" style="601" customWidth="1"/>
    <col min="9986" max="9988" width="11.28515625" style="601" customWidth="1"/>
    <col min="9989" max="9989" width="10.28515625" style="601" customWidth="1"/>
    <col min="9990" max="9990" width="11.140625" style="601" customWidth="1"/>
    <col min="9991" max="9991" width="11.7109375" style="601" customWidth="1"/>
    <col min="9992" max="9992" width="9.140625" style="601" customWidth="1"/>
    <col min="9993" max="9993" width="9" style="601" customWidth="1"/>
    <col min="9994" max="9994" width="13.42578125" style="601" customWidth="1"/>
    <col min="9995" max="9995" width="8.140625" style="601" customWidth="1"/>
    <col min="9996" max="9997" width="9.42578125" style="601" customWidth="1"/>
    <col min="9998" max="10240" width="9.140625" style="601"/>
    <col min="10241" max="10241" width="64.85546875" style="601" customWidth="1"/>
    <col min="10242" max="10244" width="11.28515625" style="601" customWidth="1"/>
    <col min="10245" max="10245" width="10.28515625" style="601" customWidth="1"/>
    <col min="10246" max="10246" width="11.140625" style="601" customWidth="1"/>
    <col min="10247" max="10247" width="11.7109375" style="601" customWidth="1"/>
    <col min="10248" max="10248" width="9.140625" style="601" customWidth="1"/>
    <col min="10249" max="10249" width="9" style="601" customWidth="1"/>
    <col min="10250" max="10250" width="13.42578125" style="601" customWidth="1"/>
    <col min="10251" max="10251" width="8.140625" style="601" customWidth="1"/>
    <col min="10252" max="10253" width="9.42578125" style="601" customWidth="1"/>
    <col min="10254" max="10496" width="9.140625" style="601"/>
    <col min="10497" max="10497" width="64.85546875" style="601" customWidth="1"/>
    <col min="10498" max="10500" width="11.28515625" style="601" customWidth="1"/>
    <col min="10501" max="10501" width="10.28515625" style="601" customWidth="1"/>
    <col min="10502" max="10502" width="11.140625" style="601" customWidth="1"/>
    <col min="10503" max="10503" width="11.7109375" style="601" customWidth="1"/>
    <col min="10504" max="10504" width="9.140625" style="601" customWidth="1"/>
    <col min="10505" max="10505" width="9" style="601" customWidth="1"/>
    <col min="10506" max="10506" width="13.42578125" style="601" customWidth="1"/>
    <col min="10507" max="10507" width="8.140625" style="601" customWidth="1"/>
    <col min="10508" max="10509" width="9.42578125" style="601" customWidth="1"/>
    <col min="10510" max="10752" width="9.140625" style="601"/>
    <col min="10753" max="10753" width="64.85546875" style="601" customWidth="1"/>
    <col min="10754" max="10756" width="11.28515625" style="601" customWidth="1"/>
    <col min="10757" max="10757" width="10.28515625" style="601" customWidth="1"/>
    <col min="10758" max="10758" width="11.140625" style="601" customWidth="1"/>
    <col min="10759" max="10759" width="11.7109375" style="601" customWidth="1"/>
    <col min="10760" max="10760" width="9.140625" style="601" customWidth="1"/>
    <col min="10761" max="10761" width="9" style="601" customWidth="1"/>
    <col min="10762" max="10762" width="13.42578125" style="601" customWidth="1"/>
    <col min="10763" max="10763" width="8.140625" style="601" customWidth="1"/>
    <col min="10764" max="10765" width="9.42578125" style="601" customWidth="1"/>
    <col min="10766" max="11008" width="9.140625" style="601"/>
    <col min="11009" max="11009" width="64.85546875" style="601" customWidth="1"/>
    <col min="11010" max="11012" width="11.28515625" style="601" customWidth="1"/>
    <col min="11013" max="11013" width="10.28515625" style="601" customWidth="1"/>
    <col min="11014" max="11014" width="11.140625" style="601" customWidth="1"/>
    <col min="11015" max="11015" width="11.7109375" style="601" customWidth="1"/>
    <col min="11016" max="11016" width="9.140625" style="601" customWidth="1"/>
    <col min="11017" max="11017" width="9" style="601" customWidth="1"/>
    <col min="11018" max="11018" width="13.42578125" style="601" customWidth="1"/>
    <col min="11019" max="11019" width="8.140625" style="601" customWidth="1"/>
    <col min="11020" max="11021" width="9.42578125" style="601" customWidth="1"/>
    <col min="11022" max="11264" width="9.140625" style="601"/>
    <col min="11265" max="11265" width="64.85546875" style="601" customWidth="1"/>
    <col min="11266" max="11268" width="11.28515625" style="601" customWidth="1"/>
    <col min="11269" max="11269" width="10.28515625" style="601" customWidth="1"/>
    <col min="11270" max="11270" width="11.140625" style="601" customWidth="1"/>
    <col min="11271" max="11271" width="11.7109375" style="601" customWidth="1"/>
    <col min="11272" max="11272" width="9.140625" style="601" customWidth="1"/>
    <col min="11273" max="11273" width="9" style="601" customWidth="1"/>
    <col min="11274" max="11274" width="13.42578125" style="601" customWidth="1"/>
    <col min="11275" max="11275" width="8.140625" style="601" customWidth="1"/>
    <col min="11276" max="11277" width="9.42578125" style="601" customWidth="1"/>
    <col min="11278" max="11520" width="9.140625" style="601"/>
    <col min="11521" max="11521" width="64.85546875" style="601" customWidth="1"/>
    <col min="11522" max="11524" width="11.28515625" style="601" customWidth="1"/>
    <col min="11525" max="11525" width="10.28515625" style="601" customWidth="1"/>
    <col min="11526" max="11526" width="11.140625" style="601" customWidth="1"/>
    <col min="11527" max="11527" width="11.7109375" style="601" customWidth="1"/>
    <col min="11528" max="11528" width="9.140625" style="601" customWidth="1"/>
    <col min="11529" max="11529" width="9" style="601" customWidth="1"/>
    <col min="11530" max="11530" width="13.42578125" style="601" customWidth="1"/>
    <col min="11531" max="11531" width="8.140625" style="601" customWidth="1"/>
    <col min="11532" max="11533" width="9.42578125" style="601" customWidth="1"/>
    <col min="11534" max="11776" width="9.140625" style="601"/>
    <col min="11777" max="11777" width="64.85546875" style="601" customWidth="1"/>
    <col min="11778" max="11780" width="11.28515625" style="601" customWidth="1"/>
    <col min="11781" max="11781" width="10.28515625" style="601" customWidth="1"/>
    <col min="11782" max="11782" width="11.140625" style="601" customWidth="1"/>
    <col min="11783" max="11783" width="11.7109375" style="601" customWidth="1"/>
    <col min="11784" max="11784" width="9.140625" style="601" customWidth="1"/>
    <col min="11785" max="11785" width="9" style="601" customWidth="1"/>
    <col min="11786" max="11786" width="13.42578125" style="601" customWidth="1"/>
    <col min="11787" max="11787" width="8.140625" style="601" customWidth="1"/>
    <col min="11788" max="11789" width="9.42578125" style="601" customWidth="1"/>
    <col min="11790" max="12032" width="9.140625" style="601"/>
    <col min="12033" max="12033" width="64.85546875" style="601" customWidth="1"/>
    <col min="12034" max="12036" width="11.28515625" style="601" customWidth="1"/>
    <col min="12037" max="12037" width="10.28515625" style="601" customWidth="1"/>
    <col min="12038" max="12038" width="11.140625" style="601" customWidth="1"/>
    <col min="12039" max="12039" width="11.7109375" style="601" customWidth="1"/>
    <col min="12040" max="12040" width="9.140625" style="601" customWidth="1"/>
    <col min="12041" max="12041" width="9" style="601" customWidth="1"/>
    <col min="12042" max="12042" width="13.42578125" style="601" customWidth="1"/>
    <col min="12043" max="12043" width="8.140625" style="601" customWidth="1"/>
    <col min="12044" max="12045" width="9.42578125" style="601" customWidth="1"/>
    <col min="12046" max="12288" width="9.140625" style="601"/>
    <col min="12289" max="12289" width="64.85546875" style="601" customWidth="1"/>
    <col min="12290" max="12292" width="11.28515625" style="601" customWidth="1"/>
    <col min="12293" max="12293" width="10.28515625" style="601" customWidth="1"/>
    <col min="12294" max="12294" width="11.140625" style="601" customWidth="1"/>
    <col min="12295" max="12295" width="11.7109375" style="601" customWidth="1"/>
    <col min="12296" max="12296" width="9.140625" style="601" customWidth="1"/>
    <col min="12297" max="12297" width="9" style="601" customWidth="1"/>
    <col min="12298" max="12298" width="13.42578125" style="601" customWidth="1"/>
    <col min="12299" max="12299" width="8.140625" style="601" customWidth="1"/>
    <col min="12300" max="12301" width="9.42578125" style="601" customWidth="1"/>
    <col min="12302" max="12544" width="9.140625" style="601"/>
    <col min="12545" max="12545" width="64.85546875" style="601" customWidth="1"/>
    <col min="12546" max="12548" width="11.28515625" style="601" customWidth="1"/>
    <col min="12549" max="12549" width="10.28515625" style="601" customWidth="1"/>
    <col min="12550" max="12550" width="11.140625" style="601" customWidth="1"/>
    <col min="12551" max="12551" width="11.7109375" style="601" customWidth="1"/>
    <col min="12552" max="12552" width="9.140625" style="601" customWidth="1"/>
    <col min="12553" max="12553" width="9" style="601" customWidth="1"/>
    <col min="12554" max="12554" width="13.42578125" style="601" customWidth="1"/>
    <col min="12555" max="12555" width="8.140625" style="601" customWidth="1"/>
    <col min="12556" max="12557" width="9.42578125" style="601" customWidth="1"/>
    <col min="12558" max="12800" width="9.140625" style="601"/>
    <col min="12801" max="12801" width="64.85546875" style="601" customWidth="1"/>
    <col min="12802" max="12804" width="11.28515625" style="601" customWidth="1"/>
    <col min="12805" max="12805" width="10.28515625" style="601" customWidth="1"/>
    <col min="12806" max="12806" width="11.140625" style="601" customWidth="1"/>
    <col min="12807" max="12807" width="11.7109375" style="601" customWidth="1"/>
    <col min="12808" max="12808" width="9.140625" style="601" customWidth="1"/>
    <col min="12809" max="12809" width="9" style="601" customWidth="1"/>
    <col min="12810" max="12810" width="13.42578125" style="601" customWidth="1"/>
    <col min="12811" max="12811" width="8.140625" style="601" customWidth="1"/>
    <col min="12812" max="12813" width="9.42578125" style="601" customWidth="1"/>
    <col min="12814" max="13056" width="9.140625" style="601"/>
    <col min="13057" max="13057" width="64.85546875" style="601" customWidth="1"/>
    <col min="13058" max="13060" width="11.28515625" style="601" customWidth="1"/>
    <col min="13061" max="13061" width="10.28515625" style="601" customWidth="1"/>
    <col min="13062" max="13062" width="11.140625" style="601" customWidth="1"/>
    <col min="13063" max="13063" width="11.7109375" style="601" customWidth="1"/>
    <col min="13064" max="13064" width="9.140625" style="601" customWidth="1"/>
    <col min="13065" max="13065" width="9" style="601" customWidth="1"/>
    <col min="13066" max="13066" width="13.42578125" style="601" customWidth="1"/>
    <col min="13067" max="13067" width="8.140625" style="601" customWidth="1"/>
    <col min="13068" max="13069" width="9.42578125" style="601" customWidth="1"/>
    <col min="13070" max="13312" width="9.140625" style="601"/>
    <col min="13313" max="13313" width="64.85546875" style="601" customWidth="1"/>
    <col min="13314" max="13316" width="11.28515625" style="601" customWidth="1"/>
    <col min="13317" max="13317" width="10.28515625" style="601" customWidth="1"/>
    <col min="13318" max="13318" width="11.140625" style="601" customWidth="1"/>
    <col min="13319" max="13319" width="11.7109375" style="601" customWidth="1"/>
    <col min="13320" max="13320" width="9.140625" style="601" customWidth="1"/>
    <col min="13321" max="13321" width="9" style="601" customWidth="1"/>
    <col min="13322" max="13322" width="13.42578125" style="601" customWidth="1"/>
    <col min="13323" max="13323" width="8.140625" style="601" customWidth="1"/>
    <col min="13324" max="13325" width="9.42578125" style="601" customWidth="1"/>
    <col min="13326" max="13568" width="9.140625" style="601"/>
    <col min="13569" max="13569" width="64.85546875" style="601" customWidth="1"/>
    <col min="13570" max="13572" width="11.28515625" style="601" customWidth="1"/>
    <col min="13573" max="13573" width="10.28515625" style="601" customWidth="1"/>
    <col min="13574" max="13574" width="11.140625" style="601" customWidth="1"/>
    <col min="13575" max="13575" width="11.7109375" style="601" customWidth="1"/>
    <col min="13576" max="13576" width="9.140625" style="601" customWidth="1"/>
    <col min="13577" max="13577" width="9" style="601" customWidth="1"/>
    <col min="13578" max="13578" width="13.42578125" style="601" customWidth="1"/>
    <col min="13579" max="13579" width="8.140625" style="601" customWidth="1"/>
    <col min="13580" max="13581" width="9.42578125" style="601" customWidth="1"/>
    <col min="13582" max="13824" width="9.140625" style="601"/>
    <col min="13825" max="13825" width="64.85546875" style="601" customWidth="1"/>
    <col min="13826" max="13828" width="11.28515625" style="601" customWidth="1"/>
    <col min="13829" max="13829" width="10.28515625" style="601" customWidth="1"/>
    <col min="13830" max="13830" width="11.140625" style="601" customWidth="1"/>
    <col min="13831" max="13831" width="11.7109375" style="601" customWidth="1"/>
    <col min="13832" max="13832" width="9.140625" style="601" customWidth="1"/>
    <col min="13833" max="13833" width="9" style="601" customWidth="1"/>
    <col min="13834" max="13834" width="13.42578125" style="601" customWidth="1"/>
    <col min="13835" max="13835" width="8.140625" style="601" customWidth="1"/>
    <col min="13836" max="13837" width="9.42578125" style="601" customWidth="1"/>
    <col min="13838" max="14080" width="9.140625" style="601"/>
    <col min="14081" max="14081" width="64.85546875" style="601" customWidth="1"/>
    <col min="14082" max="14084" width="11.28515625" style="601" customWidth="1"/>
    <col min="14085" max="14085" width="10.28515625" style="601" customWidth="1"/>
    <col min="14086" max="14086" width="11.140625" style="601" customWidth="1"/>
    <col min="14087" max="14087" width="11.7109375" style="601" customWidth="1"/>
    <col min="14088" max="14088" width="9.140625" style="601" customWidth="1"/>
    <col min="14089" max="14089" width="9" style="601" customWidth="1"/>
    <col min="14090" max="14090" width="13.42578125" style="601" customWidth="1"/>
    <col min="14091" max="14091" width="8.140625" style="601" customWidth="1"/>
    <col min="14092" max="14093" width="9.42578125" style="601" customWidth="1"/>
    <col min="14094" max="14336" width="9.140625" style="601"/>
    <col min="14337" max="14337" width="64.85546875" style="601" customWidth="1"/>
    <col min="14338" max="14340" width="11.28515625" style="601" customWidth="1"/>
    <col min="14341" max="14341" width="10.28515625" style="601" customWidth="1"/>
    <col min="14342" max="14342" width="11.140625" style="601" customWidth="1"/>
    <col min="14343" max="14343" width="11.7109375" style="601" customWidth="1"/>
    <col min="14344" max="14344" width="9.140625" style="601" customWidth="1"/>
    <col min="14345" max="14345" width="9" style="601" customWidth="1"/>
    <col min="14346" max="14346" width="13.42578125" style="601" customWidth="1"/>
    <col min="14347" max="14347" width="8.140625" style="601" customWidth="1"/>
    <col min="14348" max="14349" width="9.42578125" style="601" customWidth="1"/>
    <col min="14350" max="14592" width="9.140625" style="601"/>
    <col min="14593" max="14593" width="64.85546875" style="601" customWidth="1"/>
    <col min="14594" max="14596" width="11.28515625" style="601" customWidth="1"/>
    <col min="14597" max="14597" width="10.28515625" style="601" customWidth="1"/>
    <col min="14598" max="14598" width="11.140625" style="601" customWidth="1"/>
    <col min="14599" max="14599" width="11.7109375" style="601" customWidth="1"/>
    <col min="14600" max="14600" width="9.140625" style="601" customWidth="1"/>
    <col min="14601" max="14601" width="9" style="601" customWidth="1"/>
    <col min="14602" max="14602" width="13.42578125" style="601" customWidth="1"/>
    <col min="14603" max="14603" width="8.140625" style="601" customWidth="1"/>
    <col min="14604" max="14605" width="9.42578125" style="601" customWidth="1"/>
    <col min="14606" max="14848" width="9.140625" style="601"/>
    <col min="14849" max="14849" width="64.85546875" style="601" customWidth="1"/>
    <col min="14850" max="14852" width="11.28515625" style="601" customWidth="1"/>
    <col min="14853" max="14853" width="10.28515625" style="601" customWidth="1"/>
    <col min="14854" max="14854" width="11.140625" style="601" customWidth="1"/>
    <col min="14855" max="14855" width="11.7109375" style="601" customWidth="1"/>
    <col min="14856" max="14856" width="9.140625" style="601" customWidth="1"/>
    <col min="14857" max="14857" width="9" style="601" customWidth="1"/>
    <col min="14858" max="14858" width="13.42578125" style="601" customWidth="1"/>
    <col min="14859" max="14859" width="8.140625" style="601" customWidth="1"/>
    <col min="14860" max="14861" width="9.42578125" style="601" customWidth="1"/>
    <col min="14862" max="15104" width="9.140625" style="601"/>
    <col min="15105" max="15105" width="64.85546875" style="601" customWidth="1"/>
    <col min="15106" max="15108" width="11.28515625" style="601" customWidth="1"/>
    <col min="15109" max="15109" width="10.28515625" style="601" customWidth="1"/>
    <col min="15110" max="15110" width="11.140625" style="601" customWidth="1"/>
    <col min="15111" max="15111" width="11.7109375" style="601" customWidth="1"/>
    <col min="15112" max="15112" width="9.140625" style="601" customWidth="1"/>
    <col min="15113" max="15113" width="9" style="601" customWidth="1"/>
    <col min="15114" max="15114" width="13.42578125" style="601" customWidth="1"/>
    <col min="15115" max="15115" width="8.140625" style="601" customWidth="1"/>
    <col min="15116" max="15117" width="9.42578125" style="601" customWidth="1"/>
    <col min="15118" max="15360" width="9.140625" style="601"/>
    <col min="15361" max="15361" width="64.85546875" style="601" customWidth="1"/>
    <col min="15362" max="15364" width="11.28515625" style="601" customWidth="1"/>
    <col min="15365" max="15365" width="10.28515625" style="601" customWidth="1"/>
    <col min="15366" max="15366" width="11.140625" style="601" customWidth="1"/>
    <col min="15367" max="15367" width="11.7109375" style="601" customWidth="1"/>
    <col min="15368" max="15368" width="9.140625" style="601" customWidth="1"/>
    <col min="15369" max="15369" width="9" style="601" customWidth="1"/>
    <col min="15370" max="15370" width="13.42578125" style="601" customWidth="1"/>
    <col min="15371" max="15371" width="8.140625" style="601" customWidth="1"/>
    <col min="15372" max="15373" width="9.42578125" style="601" customWidth="1"/>
    <col min="15374" max="15616" width="9.140625" style="601"/>
    <col min="15617" max="15617" width="64.85546875" style="601" customWidth="1"/>
    <col min="15618" max="15620" width="11.28515625" style="601" customWidth="1"/>
    <col min="15621" max="15621" width="10.28515625" style="601" customWidth="1"/>
    <col min="15622" max="15622" width="11.140625" style="601" customWidth="1"/>
    <col min="15623" max="15623" width="11.7109375" style="601" customWidth="1"/>
    <col min="15624" max="15624" width="9.140625" style="601" customWidth="1"/>
    <col min="15625" max="15625" width="9" style="601" customWidth="1"/>
    <col min="15626" max="15626" width="13.42578125" style="601" customWidth="1"/>
    <col min="15627" max="15627" width="8.140625" style="601" customWidth="1"/>
    <col min="15628" max="15629" width="9.42578125" style="601" customWidth="1"/>
    <col min="15630" max="15872" width="9.140625" style="601"/>
    <col min="15873" max="15873" width="64.85546875" style="601" customWidth="1"/>
    <col min="15874" max="15876" width="11.28515625" style="601" customWidth="1"/>
    <col min="15877" max="15877" width="10.28515625" style="601" customWidth="1"/>
    <col min="15878" max="15878" width="11.140625" style="601" customWidth="1"/>
    <col min="15879" max="15879" width="11.7109375" style="601" customWidth="1"/>
    <col min="15880" max="15880" width="9.140625" style="601" customWidth="1"/>
    <col min="15881" max="15881" width="9" style="601" customWidth="1"/>
    <col min="15882" max="15882" width="13.42578125" style="601" customWidth="1"/>
    <col min="15883" max="15883" width="8.140625" style="601" customWidth="1"/>
    <col min="15884" max="15885" width="9.42578125" style="601" customWidth="1"/>
    <col min="15886" max="16128" width="9.140625" style="601"/>
    <col min="16129" max="16129" width="64.85546875" style="601" customWidth="1"/>
    <col min="16130" max="16132" width="11.28515625" style="601" customWidth="1"/>
    <col min="16133" max="16133" width="10.28515625" style="601" customWidth="1"/>
    <col min="16134" max="16134" width="11.140625" style="601" customWidth="1"/>
    <col min="16135" max="16135" width="11.7109375" style="601" customWidth="1"/>
    <col min="16136" max="16136" width="9.140625" style="601" customWidth="1"/>
    <col min="16137" max="16137" width="9" style="601" customWidth="1"/>
    <col min="16138" max="16138" width="13.42578125" style="601" customWidth="1"/>
    <col min="16139" max="16139" width="8.140625" style="601" customWidth="1"/>
    <col min="16140" max="16141" width="9.42578125" style="601" customWidth="1"/>
    <col min="16142" max="16384" width="9.140625" style="601"/>
  </cols>
  <sheetData>
    <row r="1" spans="1:20" ht="12.75">
      <c r="A1" s="187" t="s">
        <v>306</v>
      </c>
      <c r="R1" s="642" t="s">
        <v>304</v>
      </c>
    </row>
    <row r="2" spans="1:20" ht="11.25">
      <c r="A2" s="603" t="s">
        <v>335</v>
      </c>
      <c r="B2" s="603"/>
      <c r="C2" s="603"/>
      <c r="D2" s="604"/>
      <c r="E2" s="603"/>
      <c r="F2" s="603"/>
      <c r="G2" s="603"/>
      <c r="H2" s="603"/>
      <c r="I2" s="603"/>
      <c r="J2" s="603"/>
      <c r="K2" s="603"/>
      <c r="L2" s="603"/>
      <c r="M2" s="603"/>
    </row>
    <row r="3" spans="1:20" ht="11.25">
      <c r="A3" s="605"/>
      <c r="B3" s="605"/>
      <c r="C3" s="605"/>
      <c r="D3" s="606"/>
      <c r="E3" s="605"/>
      <c r="F3" s="605"/>
      <c r="G3" s="605"/>
      <c r="H3" s="605"/>
      <c r="I3" s="605"/>
      <c r="J3" s="605"/>
      <c r="K3" s="605"/>
      <c r="L3" s="605"/>
      <c r="M3" s="605"/>
    </row>
    <row r="4" spans="1:20" s="624" customFormat="1" ht="45">
      <c r="A4" s="621" t="s">
        <v>255</v>
      </c>
      <c r="B4" s="622" t="s">
        <v>0</v>
      </c>
      <c r="C4" s="622" t="s">
        <v>1</v>
      </c>
      <c r="D4" s="622" t="s">
        <v>224</v>
      </c>
      <c r="E4" s="622" t="s">
        <v>2</v>
      </c>
      <c r="F4" s="622" t="s">
        <v>3</v>
      </c>
      <c r="G4" s="622" t="s">
        <v>4</v>
      </c>
      <c r="H4" s="622" t="s">
        <v>5</v>
      </c>
      <c r="I4" s="622" t="s">
        <v>6</v>
      </c>
      <c r="J4" s="622" t="s">
        <v>7</v>
      </c>
      <c r="K4" s="622" t="s">
        <v>8</v>
      </c>
      <c r="L4" s="622" t="s">
        <v>9</v>
      </c>
      <c r="M4" s="623" t="s">
        <v>10</v>
      </c>
      <c r="N4" s="625" t="s">
        <v>86</v>
      </c>
      <c r="O4" s="625" t="s">
        <v>87</v>
      </c>
      <c r="P4" s="625" t="s">
        <v>88</v>
      </c>
      <c r="Q4" s="626" t="s">
        <v>89</v>
      </c>
      <c r="R4" s="625" t="s">
        <v>90</v>
      </c>
      <c r="S4" s="627" t="s">
        <v>317</v>
      </c>
      <c r="T4" s="627" t="s">
        <v>318</v>
      </c>
    </row>
    <row r="5" spans="1:20" s="29" customFormat="1" ht="12.75">
      <c r="A5" s="608" t="s">
        <v>62</v>
      </c>
      <c r="B5" s="643">
        <v>229</v>
      </c>
      <c r="C5" s="643">
        <v>0</v>
      </c>
      <c r="D5" s="555">
        <v>0</v>
      </c>
      <c r="E5" s="643">
        <v>18</v>
      </c>
      <c r="F5" s="643">
        <v>2210</v>
      </c>
      <c r="G5" s="643">
        <v>626</v>
      </c>
      <c r="H5" s="643">
        <v>21491</v>
      </c>
      <c r="I5" s="643">
        <v>19</v>
      </c>
      <c r="J5" s="643">
        <v>228</v>
      </c>
      <c r="K5" s="643">
        <v>0</v>
      </c>
      <c r="L5" s="643">
        <v>657</v>
      </c>
      <c r="M5" s="644">
        <v>25477</v>
      </c>
      <c r="N5" s="559">
        <f>SUM(B5,E5)</f>
        <v>247</v>
      </c>
      <c r="O5" s="559">
        <f>SUM(C5,D5,G5,F5)</f>
        <v>2836</v>
      </c>
      <c r="P5" s="559">
        <f>SUM(H5:L5)</f>
        <v>22395</v>
      </c>
      <c r="Q5" s="594">
        <f>(10*N5)+(3*O5)+P5</f>
        <v>33373</v>
      </c>
      <c r="R5" s="560">
        <f>SUM(Q5/($Q$45+$Q$57))</f>
        <v>1.6316905767461237E-2</v>
      </c>
      <c r="S5" s="559">
        <f>SUM(N5:P5)</f>
        <v>25478</v>
      </c>
      <c r="T5" s="559">
        <f>S5-M5</f>
        <v>1</v>
      </c>
    </row>
    <row r="6" spans="1:20" s="29" customFormat="1" ht="12.75">
      <c r="A6" s="608" t="s">
        <v>84</v>
      </c>
      <c r="B6" s="643">
        <v>1911</v>
      </c>
      <c r="C6" s="643">
        <v>0</v>
      </c>
      <c r="D6" s="555">
        <v>0</v>
      </c>
      <c r="E6" s="643">
        <v>99</v>
      </c>
      <c r="F6" s="643">
        <v>5108</v>
      </c>
      <c r="G6" s="643">
        <v>1063</v>
      </c>
      <c r="H6" s="643">
        <v>10163</v>
      </c>
      <c r="I6" s="643">
        <v>26</v>
      </c>
      <c r="J6" s="643">
        <v>188</v>
      </c>
      <c r="K6" s="643">
        <v>1</v>
      </c>
      <c r="L6" s="643">
        <v>57</v>
      </c>
      <c r="M6" s="644">
        <v>18616</v>
      </c>
      <c r="N6" s="559">
        <f t="shared" ref="N6:N43" si="0">SUM(B6,E6)</f>
        <v>2010</v>
      </c>
      <c r="O6" s="559">
        <f t="shared" ref="O6:O43" si="1">SUM(C6,D6,G6,F6)</f>
        <v>6171</v>
      </c>
      <c r="P6" s="559">
        <f t="shared" ref="P6:P43" si="2">SUM(H6:L6)</f>
        <v>10435</v>
      </c>
      <c r="Q6" s="594">
        <f t="shared" ref="Q6:Q42" si="3">(10*N6)+(3*O6)+P6</f>
        <v>49048</v>
      </c>
      <c r="R6" s="560">
        <f t="shared" ref="R6:R42" si="4">SUM(Q6/($Q$45+$Q$57))</f>
        <v>2.398081065779039E-2</v>
      </c>
      <c r="S6" s="559">
        <f t="shared" ref="S6:S42" si="5">SUM(N6:P6)</f>
        <v>18616</v>
      </c>
      <c r="T6" s="559">
        <f t="shared" ref="T6:T43" si="6">S6-M6</f>
        <v>0</v>
      </c>
    </row>
    <row r="7" spans="1:20" s="29" customFormat="1" ht="12.75">
      <c r="A7" s="645" t="s">
        <v>35</v>
      </c>
      <c r="B7" s="643">
        <v>120</v>
      </c>
      <c r="C7" s="643">
        <v>0</v>
      </c>
      <c r="D7" s="555">
        <v>589</v>
      </c>
      <c r="E7" s="643">
        <v>20</v>
      </c>
      <c r="F7" s="643">
        <v>1552</v>
      </c>
      <c r="G7" s="643">
        <v>185</v>
      </c>
      <c r="H7" s="643">
        <v>2618</v>
      </c>
      <c r="I7" s="643">
        <v>0</v>
      </c>
      <c r="J7" s="643">
        <v>167</v>
      </c>
      <c r="K7" s="643">
        <v>63</v>
      </c>
      <c r="L7" s="643">
        <v>476</v>
      </c>
      <c r="M7" s="644">
        <v>5789</v>
      </c>
      <c r="N7" s="559">
        <f t="shared" si="0"/>
        <v>140</v>
      </c>
      <c r="O7" s="559">
        <f t="shared" si="1"/>
        <v>2326</v>
      </c>
      <c r="P7" s="559">
        <f t="shared" si="2"/>
        <v>3324</v>
      </c>
      <c r="Q7" s="594">
        <f t="shared" si="3"/>
        <v>11702</v>
      </c>
      <c r="R7" s="560">
        <f t="shared" si="4"/>
        <v>5.7214044674087248E-3</v>
      </c>
      <c r="S7" s="559">
        <f t="shared" si="5"/>
        <v>5790</v>
      </c>
      <c r="T7" s="559">
        <f t="shared" si="6"/>
        <v>1</v>
      </c>
    </row>
    <row r="8" spans="1:20" s="29" customFormat="1" ht="12.75">
      <c r="A8" s="612" t="s">
        <v>57</v>
      </c>
      <c r="B8" s="643">
        <v>197</v>
      </c>
      <c r="C8" s="643">
        <v>2</v>
      </c>
      <c r="D8" s="555">
        <v>0</v>
      </c>
      <c r="E8" s="643">
        <v>32</v>
      </c>
      <c r="F8" s="643">
        <v>870</v>
      </c>
      <c r="G8" s="643">
        <v>130</v>
      </c>
      <c r="H8" s="643">
        <v>4365</v>
      </c>
      <c r="I8" s="643">
        <v>34</v>
      </c>
      <c r="J8" s="643">
        <v>118</v>
      </c>
      <c r="K8" s="643">
        <v>598</v>
      </c>
      <c r="L8" s="643">
        <v>6</v>
      </c>
      <c r="M8" s="644">
        <v>6350</v>
      </c>
      <c r="N8" s="559">
        <f t="shared" si="0"/>
        <v>229</v>
      </c>
      <c r="O8" s="559">
        <f t="shared" si="1"/>
        <v>1002</v>
      </c>
      <c r="P8" s="559">
        <f t="shared" si="2"/>
        <v>5121</v>
      </c>
      <c r="Q8" s="594">
        <f t="shared" si="3"/>
        <v>10417</v>
      </c>
      <c r="R8" s="560">
        <f t="shared" si="4"/>
        <v>5.093135390274884E-3</v>
      </c>
      <c r="S8" s="559">
        <f t="shared" si="5"/>
        <v>6352</v>
      </c>
      <c r="T8" s="559">
        <f t="shared" si="6"/>
        <v>2</v>
      </c>
    </row>
    <row r="9" spans="1:20" s="29" customFormat="1" ht="12.75">
      <c r="A9" s="645" t="s">
        <v>14</v>
      </c>
      <c r="B9" s="643">
        <v>310</v>
      </c>
      <c r="C9" s="643">
        <v>4</v>
      </c>
      <c r="D9" s="555">
        <v>0</v>
      </c>
      <c r="E9" s="643">
        <v>13</v>
      </c>
      <c r="F9" s="643">
        <v>6455</v>
      </c>
      <c r="G9" s="643">
        <v>1108</v>
      </c>
      <c r="H9" s="643">
        <v>13564</v>
      </c>
      <c r="I9" s="643">
        <v>1118</v>
      </c>
      <c r="J9" s="643">
        <v>144</v>
      </c>
      <c r="K9" s="643">
        <v>581</v>
      </c>
      <c r="L9" s="643">
        <v>149</v>
      </c>
      <c r="M9" s="644">
        <v>23444</v>
      </c>
      <c r="N9" s="559">
        <f t="shared" si="0"/>
        <v>323</v>
      </c>
      <c r="O9" s="559">
        <f t="shared" si="1"/>
        <v>7567</v>
      </c>
      <c r="P9" s="559">
        <f t="shared" si="2"/>
        <v>15556</v>
      </c>
      <c r="Q9" s="594">
        <f t="shared" si="3"/>
        <v>41487</v>
      </c>
      <c r="R9" s="560">
        <f t="shared" si="4"/>
        <v>2.0284046072413756E-2</v>
      </c>
      <c r="S9" s="559">
        <f t="shared" si="5"/>
        <v>23446</v>
      </c>
      <c r="T9" s="559">
        <f t="shared" si="6"/>
        <v>2</v>
      </c>
    </row>
    <row r="10" spans="1:20" s="29" customFormat="1" ht="12.75">
      <c r="A10" s="645" t="s">
        <v>323</v>
      </c>
      <c r="B10" s="643">
        <v>158</v>
      </c>
      <c r="C10" s="643">
        <v>0</v>
      </c>
      <c r="D10" s="555">
        <v>0</v>
      </c>
      <c r="E10" s="643">
        <v>55</v>
      </c>
      <c r="F10" s="643">
        <v>4023</v>
      </c>
      <c r="G10" s="643">
        <v>411</v>
      </c>
      <c r="H10" s="643">
        <v>8944</v>
      </c>
      <c r="I10" s="643">
        <v>114</v>
      </c>
      <c r="J10" s="643">
        <v>110</v>
      </c>
      <c r="K10" s="643">
        <v>815</v>
      </c>
      <c r="L10" s="643">
        <v>74</v>
      </c>
      <c r="M10" s="644">
        <v>14704</v>
      </c>
      <c r="N10" s="559">
        <f t="shared" si="0"/>
        <v>213</v>
      </c>
      <c r="O10" s="559">
        <f t="shared" si="1"/>
        <v>4434</v>
      </c>
      <c r="P10" s="559">
        <f t="shared" si="2"/>
        <v>10057</v>
      </c>
      <c r="Q10" s="594">
        <f t="shared" si="3"/>
        <v>25489</v>
      </c>
      <c r="R10" s="560">
        <f t="shared" si="4"/>
        <v>1.2462218293435395E-2</v>
      </c>
      <c r="S10" s="559">
        <f t="shared" si="5"/>
        <v>14704</v>
      </c>
      <c r="T10" s="559">
        <f t="shared" si="6"/>
        <v>0</v>
      </c>
    </row>
    <row r="11" spans="1:20" s="29" customFormat="1" ht="12.75">
      <c r="A11" s="645" t="s">
        <v>336</v>
      </c>
      <c r="B11" s="643">
        <v>1349</v>
      </c>
      <c r="C11" s="643">
        <v>1</v>
      </c>
      <c r="D11" s="555">
        <v>0</v>
      </c>
      <c r="E11" s="643">
        <v>154</v>
      </c>
      <c r="F11" s="643">
        <v>2894</v>
      </c>
      <c r="G11" s="643">
        <v>674</v>
      </c>
      <c r="H11" s="643">
        <v>28231</v>
      </c>
      <c r="I11" s="643">
        <v>10</v>
      </c>
      <c r="J11" s="643">
        <v>148</v>
      </c>
      <c r="K11" s="643">
        <v>827</v>
      </c>
      <c r="L11" s="643">
        <v>68</v>
      </c>
      <c r="M11" s="644">
        <v>34354</v>
      </c>
      <c r="N11" s="559">
        <f t="shared" si="0"/>
        <v>1503</v>
      </c>
      <c r="O11" s="559">
        <f t="shared" si="1"/>
        <v>3569</v>
      </c>
      <c r="P11" s="559">
        <f t="shared" si="2"/>
        <v>29284</v>
      </c>
      <c r="Q11" s="594">
        <f t="shared" si="3"/>
        <v>55021</v>
      </c>
      <c r="R11" s="560">
        <f t="shared" si="4"/>
        <v>2.6901161784421077E-2</v>
      </c>
      <c r="S11" s="559">
        <f t="shared" si="5"/>
        <v>34356</v>
      </c>
      <c r="T11" s="559">
        <f t="shared" si="6"/>
        <v>2</v>
      </c>
    </row>
    <row r="12" spans="1:20" s="29" customFormat="1" ht="12.75">
      <c r="A12" s="645" t="s">
        <v>63</v>
      </c>
      <c r="B12" s="643">
        <v>1090</v>
      </c>
      <c r="C12" s="643">
        <v>2</v>
      </c>
      <c r="D12" s="555">
        <v>0</v>
      </c>
      <c r="E12" s="643">
        <v>64</v>
      </c>
      <c r="F12" s="643">
        <v>6801</v>
      </c>
      <c r="G12" s="643">
        <v>973</v>
      </c>
      <c r="H12" s="643">
        <v>30099</v>
      </c>
      <c r="I12" s="643">
        <v>348</v>
      </c>
      <c r="J12" s="643">
        <v>75</v>
      </c>
      <c r="K12" s="643">
        <v>0</v>
      </c>
      <c r="L12" s="643">
        <v>174</v>
      </c>
      <c r="M12" s="644">
        <v>39627</v>
      </c>
      <c r="N12" s="559">
        <f t="shared" si="0"/>
        <v>1154</v>
      </c>
      <c r="O12" s="559">
        <f t="shared" si="1"/>
        <v>7776</v>
      </c>
      <c r="P12" s="559">
        <f t="shared" si="2"/>
        <v>30696</v>
      </c>
      <c r="Q12" s="594">
        <f t="shared" si="3"/>
        <v>65564</v>
      </c>
      <c r="R12" s="560">
        <f t="shared" si="4"/>
        <v>3.2055901769029706E-2</v>
      </c>
      <c r="S12" s="559">
        <f t="shared" si="5"/>
        <v>39626</v>
      </c>
      <c r="T12" s="559">
        <f t="shared" si="6"/>
        <v>-1</v>
      </c>
    </row>
    <row r="13" spans="1:20" s="29" customFormat="1" ht="12.75">
      <c r="A13" s="645" t="s">
        <v>45</v>
      </c>
      <c r="B13" s="643">
        <v>388</v>
      </c>
      <c r="C13" s="643">
        <v>1</v>
      </c>
      <c r="D13" s="555">
        <v>0</v>
      </c>
      <c r="E13" s="643">
        <v>104</v>
      </c>
      <c r="F13" s="643">
        <v>2520</v>
      </c>
      <c r="G13" s="643">
        <v>1305</v>
      </c>
      <c r="H13" s="643">
        <v>13441</v>
      </c>
      <c r="I13" s="643">
        <v>20</v>
      </c>
      <c r="J13" s="643">
        <v>132</v>
      </c>
      <c r="K13" s="643">
        <v>1157</v>
      </c>
      <c r="L13" s="643">
        <v>11</v>
      </c>
      <c r="M13" s="644">
        <v>19078</v>
      </c>
      <c r="N13" s="559">
        <f t="shared" si="0"/>
        <v>492</v>
      </c>
      <c r="O13" s="559">
        <f t="shared" si="1"/>
        <v>3826</v>
      </c>
      <c r="P13" s="559">
        <f t="shared" si="2"/>
        <v>14761</v>
      </c>
      <c r="Q13" s="594">
        <f t="shared" si="3"/>
        <v>31159</v>
      </c>
      <c r="R13" s="560">
        <f t="shared" si="4"/>
        <v>1.5234425038453979E-2</v>
      </c>
      <c r="S13" s="559">
        <f t="shared" si="5"/>
        <v>19079</v>
      </c>
      <c r="T13" s="559">
        <f t="shared" si="6"/>
        <v>1</v>
      </c>
    </row>
    <row r="14" spans="1:20" s="29" customFormat="1" ht="12.75">
      <c r="A14" s="645" t="s">
        <v>329</v>
      </c>
      <c r="B14" s="643">
        <v>204</v>
      </c>
      <c r="C14" s="643">
        <v>4</v>
      </c>
      <c r="D14" s="555">
        <v>0</v>
      </c>
      <c r="E14" s="643">
        <v>25</v>
      </c>
      <c r="F14" s="643">
        <v>1707</v>
      </c>
      <c r="G14" s="643">
        <v>159</v>
      </c>
      <c r="H14" s="643">
        <v>6910</v>
      </c>
      <c r="I14" s="643">
        <v>6</v>
      </c>
      <c r="J14" s="643">
        <v>212</v>
      </c>
      <c r="K14" s="643">
        <v>118</v>
      </c>
      <c r="L14" s="643">
        <v>29</v>
      </c>
      <c r="M14" s="644">
        <v>9373</v>
      </c>
      <c r="N14" s="559">
        <f t="shared" si="0"/>
        <v>229</v>
      </c>
      <c r="O14" s="559">
        <f t="shared" si="1"/>
        <v>1870</v>
      </c>
      <c r="P14" s="559">
        <f t="shared" si="2"/>
        <v>7275</v>
      </c>
      <c r="Q14" s="594">
        <f t="shared" si="3"/>
        <v>15175</v>
      </c>
      <c r="R14" s="560">
        <f t="shared" si="4"/>
        <v>7.4194422144015894E-3</v>
      </c>
      <c r="S14" s="559">
        <f t="shared" si="5"/>
        <v>9374</v>
      </c>
      <c r="T14" s="559">
        <f t="shared" si="6"/>
        <v>1</v>
      </c>
    </row>
    <row r="15" spans="1:20" s="29" customFormat="1" ht="12.75">
      <c r="A15" s="645" t="s">
        <v>324</v>
      </c>
      <c r="B15" s="643">
        <v>676</v>
      </c>
      <c r="C15" s="643">
        <v>3</v>
      </c>
      <c r="D15" s="555">
        <v>642</v>
      </c>
      <c r="E15" s="643">
        <v>30</v>
      </c>
      <c r="F15" s="643">
        <v>2879</v>
      </c>
      <c r="G15" s="643">
        <v>659</v>
      </c>
      <c r="H15" s="643">
        <v>11938</v>
      </c>
      <c r="I15" s="643">
        <v>0</v>
      </c>
      <c r="J15" s="643">
        <v>43</v>
      </c>
      <c r="K15" s="643">
        <v>324</v>
      </c>
      <c r="L15" s="643">
        <v>24</v>
      </c>
      <c r="M15" s="644">
        <v>17217</v>
      </c>
      <c r="N15" s="559">
        <f t="shared" si="0"/>
        <v>706</v>
      </c>
      <c r="O15" s="559">
        <f t="shared" si="1"/>
        <v>4183</v>
      </c>
      <c r="P15" s="559">
        <f t="shared" si="2"/>
        <v>12329</v>
      </c>
      <c r="Q15" s="594">
        <f t="shared" si="3"/>
        <v>31938</v>
      </c>
      <c r="R15" s="560">
        <f t="shared" si="4"/>
        <v>1.5615297887549125E-2</v>
      </c>
      <c r="S15" s="559">
        <f t="shared" si="5"/>
        <v>17218</v>
      </c>
      <c r="T15" s="559">
        <f t="shared" si="6"/>
        <v>1</v>
      </c>
    </row>
    <row r="16" spans="1:20" s="29" customFormat="1" ht="12.75">
      <c r="A16" s="645" t="s">
        <v>37</v>
      </c>
      <c r="B16" s="643">
        <v>1382</v>
      </c>
      <c r="C16" s="643">
        <v>0</v>
      </c>
      <c r="D16" s="555">
        <v>712</v>
      </c>
      <c r="E16" s="643">
        <v>134</v>
      </c>
      <c r="F16" s="643">
        <v>2842</v>
      </c>
      <c r="G16" s="643">
        <v>1262</v>
      </c>
      <c r="H16" s="643">
        <v>27872</v>
      </c>
      <c r="I16" s="643">
        <v>0</v>
      </c>
      <c r="J16" s="643">
        <v>334</v>
      </c>
      <c r="K16" s="643">
        <v>30</v>
      </c>
      <c r="L16" s="643">
        <v>467</v>
      </c>
      <c r="M16" s="644">
        <v>35036</v>
      </c>
      <c r="N16" s="559">
        <f t="shared" si="0"/>
        <v>1516</v>
      </c>
      <c r="O16" s="559">
        <f t="shared" si="1"/>
        <v>4816</v>
      </c>
      <c r="P16" s="559">
        <f t="shared" si="2"/>
        <v>28703</v>
      </c>
      <c r="Q16" s="594">
        <f t="shared" si="3"/>
        <v>58311</v>
      </c>
      <c r="R16" s="560">
        <f t="shared" si="4"/>
        <v>2.8509726192024454E-2</v>
      </c>
      <c r="S16" s="559">
        <f t="shared" si="5"/>
        <v>35035</v>
      </c>
      <c r="T16" s="559">
        <f t="shared" si="6"/>
        <v>-1</v>
      </c>
    </row>
    <row r="17" spans="1:20" s="29" customFormat="1" ht="12.75">
      <c r="A17" s="645" t="s">
        <v>38</v>
      </c>
      <c r="B17" s="643">
        <v>566</v>
      </c>
      <c r="C17" s="643">
        <v>1</v>
      </c>
      <c r="D17" s="555">
        <v>1</v>
      </c>
      <c r="E17" s="643">
        <v>31</v>
      </c>
      <c r="F17" s="643">
        <v>1739</v>
      </c>
      <c r="G17" s="643">
        <v>315</v>
      </c>
      <c r="H17" s="643">
        <v>11401</v>
      </c>
      <c r="I17" s="643">
        <v>0</v>
      </c>
      <c r="J17" s="643">
        <v>560</v>
      </c>
      <c r="K17" s="643">
        <v>256</v>
      </c>
      <c r="L17" s="643">
        <v>266</v>
      </c>
      <c r="M17" s="644">
        <v>15135</v>
      </c>
      <c r="N17" s="559">
        <f t="shared" si="0"/>
        <v>597</v>
      </c>
      <c r="O17" s="559">
        <f t="shared" si="1"/>
        <v>2056</v>
      </c>
      <c r="P17" s="559">
        <f t="shared" si="2"/>
        <v>12483</v>
      </c>
      <c r="Q17" s="594">
        <f t="shared" si="3"/>
        <v>24621</v>
      </c>
      <c r="R17" s="560">
        <f t="shared" si="4"/>
        <v>1.2037831088025143E-2</v>
      </c>
      <c r="S17" s="559">
        <f t="shared" si="5"/>
        <v>15136</v>
      </c>
      <c r="T17" s="559">
        <f t="shared" si="6"/>
        <v>1</v>
      </c>
    </row>
    <row r="18" spans="1:20" s="29" customFormat="1" ht="12.75">
      <c r="A18" s="645" t="s">
        <v>26</v>
      </c>
      <c r="B18" s="643">
        <v>928</v>
      </c>
      <c r="C18" s="643">
        <v>1</v>
      </c>
      <c r="D18" s="555">
        <v>0</v>
      </c>
      <c r="E18" s="643">
        <v>81</v>
      </c>
      <c r="F18" s="643">
        <v>4137</v>
      </c>
      <c r="G18" s="643">
        <v>222</v>
      </c>
      <c r="H18" s="643">
        <v>23671</v>
      </c>
      <c r="I18" s="643">
        <v>0</v>
      </c>
      <c r="J18" s="643">
        <v>401</v>
      </c>
      <c r="K18" s="643">
        <v>114</v>
      </c>
      <c r="L18" s="643">
        <v>31</v>
      </c>
      <c r="M18" s="644">
        <v>29586</v>
      </c>
      <c r="N18" s="559">
        <f t="shared" si="0"/>
        <v>1009</v>
      </c>
      <c r="O18" s="559">
        <f t="shared" si="1"/>
        <v>4360</v>
      </c>
      <c r="P18" s="559">
        <f t="shared" si="2"/>
        <v>24217</v>
      </c>
      <c r="Q18" s="594">
        <f t="shared" si="3"/>
        <v>47387</v>
      </c>
      <c r="R18" s="560">
        <f t="shared" si="4"/>
        <v>2.316870564835902E-2</v>
      </c>
      <c r="S18" s="559">
        <f t="shared" si="5"/>
        <v>29586</v>
      </c>
      <c r="T18" s="559">
        <f t="shared" si="6"/>
        <v>0</v>
      </c>
    </row>
    <row r="19" spans="1:20" s="29" customFormat="1" ht="12.75">
      <c r="A19" s="645" t="s">
        <v>15</v>
      </c>
      <c r="B19" s="643">
        <v>1106</v>
      </c>
      <c r="C19" s="643">
        <v>16</v>
      </c>
      <c r="D19" s="555">
        <v>0</v>
      </c>
      <c r="E19" s="643">
        <v>343</v>
      </c>
      <c r="F19" s="643">
        <v>5160</v>
      </c>
      <c r="G19" s="643">
        <v>298</v>
      </c>
      <c r="H19" s="643">
        <v>24605</v>
      </c>
      <c r="I19" s="643">
        <v>0</v>
      </c>
      <c r="J19" s="643">
        <v>1060</v>
      </c>
      <c r="K19" s="643">
        <v>373</v>
      </c>
      <c r="L19" s="643">
        <v>325</v>
      </c>
      <c r="M19" s="644">
        <v>33287</v>
      </c>
      <c r="N19" s="559">
        <f t="shared" si="0"/>
        <v>1449</v>
      </c>
      <c r="O19" s="559">
        <f t="shared" si="1"/>
        <v>5474</v>
      </c>
      <c r="P19" s="559">
        <f t="shared" si="2"/>
        <v>26363</v>
      </c>
      <c r="Q19" s="594">
        <f t="shared" si="3"/>
        <v>57275</v>
      </c>
      <c r="R19" s="560">
        <f t="shared" si="4"/>
        <v>2.8003199527502541E-2</v>
      </c>
      <c r="S19" s="559">
        <f t="shared" si="5"/>
        <v>33286</v>
      </c>
      <c r="T19" s="559">
        <f t="shared" si="6"/>
        <v>-1</v>
      </c>
    </row>
    <row r="20" spans="1:20" s="29" customFormat="1" ht="12.75">
      <c r="A20" s="645" t="s">
        <v>28</v>
      </c>
      <c r="B20" s="643">
        <v>3162</v>
      </c>
      <c r="C20" s="643">
        <v>0</v>
      </c>
      <c r="D20" s="555">
        <v>0</v>
      </c>
      <c r="E20" s="643">
        <v>191</v>
      </c>
      <c r="F20" s="643">
        <v>12661</v>
      </c>
      <c r="G20" s="643">
        <v>1038</v>
      </c>
      <c r="H20" s="643">
        <v>44881</v>
      </c>
      <c r="I20" s="643">
        <v>0</v>
      </c>
      <c r="J20" s="643">
        <v>347</v>
      </c>
      <c r="K20" s="643">
        <v>15</v>
      </c>
      <c r="L20" s="643">
        <v>139</v>
      </c>
      <c r="M20" s="644">
        <v>62433</v>
      </c>
      <c r="N20" s="559">
        <f t="shared" si="0"/>
        <v>3353</v>
      </c>
      <c r="O20" s="559">
        <f t="shared" si="1"/>
        <v>13699</v>
      </c>
      <c r="P20" s="559">
        <f t="shared" si="2"/>
        <v>45382</v>
      </c>
      <c r="Q20" s="594">
        <f t="shared" si="3"/>
        <v>120009</v>
      </c>
      <c r="R20" s="560">
        <f t="shared" si="4"/>
        <v>5.8675442550782234E-2</v>
      </c>
      <c r="S20" s="559">
        <f t="shared" si="5"/>
        <v>62434</v>
      </c>
      <c r="T20" s="559">
        <f t="shared" si="6"/>
        <v>1</v>
      </c>
    </row>
    <row r="21" spans="1:20" s="29" customFormat="1" ht="12.75">
      <c r="A21" s="608" t="s">
        <v>46</v>
      </c>
      <c r="B21" s="643">
        <v>470</v>
      </c>
      <c r="C21" s="643">
        <v>1</v>
      </c>
      <c r="D21" s="555">
        <v>0</v>
      </c>
      <c r="E21" s="643">
        <v>47</v>
      </c>
      <c r="F21" s="643">
        <v>966</v>
      </c>
      <c r="G21" s="643">
        <v>471</v>
      </c>
      <c r="H21" s="643">
        <v>12318</v>
      </c>
      <c r="I21" s="643">
        <v>0</v>
      </c>
      <c r="J21" s="643">
        <v>69</v>
      </c>
      <c r="K21" s="643">
        <v>759</v>
      </c>
      <c r="L21" s="643">
        <v>70</v>
      </c>
      <c r="M21" s="644">
        <v>15172</v>
      </c>
      <c r="N21" s="559">
        <f t="shared" si="0"/>
        <v>517</v>
      </c>
      <c r="O21" s="559">
        <f t="shared" si="1"/>
        <v>1438</v>
      </c>
      <c r="P21" s="559">
        <f t="shared" si="2"/>
        <v>13216</v>
      </c>
      <c r="Q21" s="594">
        <f t="shared" si="3"/>
        <v>22700</v>
      </c>
      <c r="R21" s="560">
        <f t="shared" si="4"/>
        <v>1.1098605487111439E-2</v>
      </c>
      <c r="S21" s="559">
        <f t="shared" si="5"/>
        <v>15171</v>
      </c>
      <c r="T21" s="559">
        <f t="shared" si="6"/>
        <v>-1</v>
      </c>
    </row>
    <row r="22" spans="1:20" s="29" customFormat="1" ht="12.75">
      <c r="A22" s="608" t="s">
        <v>39</v>
      </c>
      <c r="B22" s="643">
        <v>1410</v>
      </c>
      <c r="C22" s="643">
        <v>5</v>
      </c>
      <c r="D22" s="555">
        <v>0</v>
      </c>
      <c r="E22" s="643">
        <v>280</v>
      </c>
      <c r="F22" s="643">
        <v>3153</v>
      </c>
      <c r="G22" s="643">
        <v>1469</v>
      </c>
      <c r="H22" s="643">
        <v>29978</v>
      </c>
      <c r="I22" s="643">
        <v>0</v>
      </c>
      <c r="J22" s="643">
        <v>608</v>
      </c>
      <c r="K22" s="643">
        <v>0</v>
      </c>
      <c r="L22" s="643">
        <v>256</v>
      </c>
      <c r="M22" s="644">
        <v>37159</v>
      </c>
      <c r="N22" s="559">
        <f t="shared" si="0"/>
        <v>1690</v>
      </c>
      <c r="O22" s="559">
        <f t="shared" si="1"/>
        <v>4627</v>
      </c>
      <c r="P22" s="559">
        <f t="shared" si="2"/>
        <v>30842</v>
      </c>
      <c r="Q22" s="594">
        <f t="shared" si="3"/>
        <v>61623</v>
      </c>
      <c r="R22" s="560">
        <f t="shared" si="4"/>
        <v>3.0129046957368642E-2</v>
      </c>
      <c r="S22" s="559">
        <f t="shared" si="5"/>
        <v>37159</v>
      </c>
      <c r="T22" s="559">
        <f t="shared" si="6"/>
        <v>0</v>
      </c>
    </row>
    <row r="23" spans="1:20" s="29" customFormat="1" ht="12.75">
      <c r="A23" s="608" t="s">
        <v>29</v>
      </c>
      <c r="B23" s="643">
        <v>1445</v>
      </c>
      <c r="C23" s="643">
        <v>0</v>
      </c>
      <c r="D23" s="555">
        <v>0</v>
      </c>
      <c r="E23" s="643">
        <v>112</v>
      </c>
      <c r="F23" s="643">
        <v>6745</v>
      </c>
      <c r="G23" s="643">
        <v>813</v>
      </c>
      <c r="H23" s="643">
        <v>36277</v>
      </c>
      <c r="I23" s="643">
        <v>2746</v>
      </c>
      <c r="J23" s="643">
        <v>879</v>
      </c>
      <c r="K23" s="643">
        <v>11</v>
      </c>
      <c r="L23" s="643">
        <v>380</v>
      </c>
      <c r="M23" s="644">
        <v>49408</v>
      </c>
      <c r="N23" s="559">
        <f t="shared" si="0"/>
        <v>1557</v>
      </c>
      <c r="O23" s="559">
        <f t="shared" si="1"/>
        <v>7558</v>
      </c>
      <c r="P23" s="559">
        <f t="shared" si="2"/>
        <v>40293</v>
      </c>
      <c r="Q23" s="594">
        <f t="shared" si="3"/>
        <v>78537</v>
      </c>
      <c r="R23" s="560">
        <f t="shared" si="4"/>
        <v>3.8398730358646299E-2</v>
      </c>
      <c r="S23" s="559">
        <f t="shared" si="5"/>
        <v>49408</v>
      </c>
      <c r="T23" s="559">
        <f t="shared" si="6"/>
        <v>0</v>
      </c>
    </row>
    <row r="24" spans="1:20" s="29" customFormat="1" ht="12.75">
      <c r="A24" s="608" t="s">
        <v>16</v>
      </c>
      <c r="B24" s="643">
        <v>166</v>
      </c>
      <c r="C24" s="643">
        <v>0</v>
      </c>
      <c r="D24" s="555">
        <v>0</v>
      </c>
      <c r="E24" s="643">
        <v>21</v>
      </c>
      <c r="F24" s="643">
        <v>1373</v>
      </c>
      <c r="G24" s="643">
        <v>203</v>
      </c>
      <c r="H24" s="643">
        <v>7289</v>
      </c>
      <c r="I24" s="643">
        <v>339</v>
      </c>
      <c r="J24" s="643">
        <v>300</v>
      </c>
      <c r="K24" s="643">
        <v>484</v>
      </c>
      <c r="L24" s="643">
        <v>32</v>
      </c>
      <c r="M24" s="644">
        <v>10206</v>
      </c>
      <c r="N24" s="559">
        <f t="shared" si="0"/>
        <v>187</v>
      </c>
      <c r="O24" s="559">
        <f t="shared" si="1"/>
        <v>1576</v>
      </c>
      <c r="P24" s="559">
        <f t="shared" si="2"/>
        <v>8444</v>
      </c>
      <c r="Q24" s="594">
        <f t="shared" si="3"/>
        <v>15042</v>
      </c>
      <c r="R24" s="560">
        <f t="shared" si="4"/>
        <v>7.3544151426048572E-3</v>
      </c>
      <c r="S24" s="559">
        <f t="shared" si="5"/>
        <v>10207</v>
      </c>
      <c r="T24" s="559">
        <f t="shared" si="6"/>
        <v>1</v>
      </c>
    </row>
    <row r="25" spans="1:20" s="29" customFormat="1" ht="12.75">
      <c r="A25" s="608" t="s">
        <v>30</v>
      </c>
      <c r="B25" s="643">
        <v>712</v>
      </c>
      <c r="C25" s="643">
        <v>0</v>
      </c>
      <c r="D25" s="555">
        <v>0</v>
      </c>
      <c r="E25" s="643">
        <v>67</v>
      </c>
      <c r="F25" s="643">
        <v>2777</v>
      </c>
      <c r="G25" s="643">
        <v>500</v>
      </c>
      <c r="H25" s="643">
        <v>20758</v>
      </c>
      <c r="I25" s="643">
        <v>76</v>
      </c>
      <c r="J25" s="643">
        <v>1072</v>
      </c>
      <c r="K25" s="643">
        <v>0</v>
      </c>
      <c r="L25" s="643">
        <v>113</v>
      </c>
      <c r="M25" s="644">
        <v>26076</v>
      </c>
      <c r="N25" s="559">
        <f t="shared" si="0"/>
        <v>779</v>
      </c>
      <c r="O25" s="559">
        <f t="shared" si="1"/>
        <v>3277</v>
      </c>
      <c r="P25" s="559">
        <f t="shared" si="2"/>
        <v>22019</v>
      </c>
      <c r="Q25" s="594">
        <f t="shared" si="3"/>
        <v>39640</v>
      </c>
      <c r="R25" s="560">
        <f t="shared" si="4"/>
        <v>1.9381000947537332E-2</v>
      </c>
      <c r="S25" s="559">
        <f t="shared" si="5"/>
        <v>26075</v>
      </c>
      <c r="T25" s="559">
        <f t="shared" si="6"/>
        <v>-1</v>
      </c>
    </row>
    <row r="26" spans="1:20" s="29" customFormat="1" ht="12.75">
      <c r="A26" s="608" t="s">
        <v>75</v>
      </c>
      <c r="B26" s="643">
        <v>1414</v>
      </c>
      <c r="C26" s="643">
        <v>1</v>
      </c>
      <c r="D26" s="555">
        <v>186</v>
      </c>
      <c r="E26" s="643">
        <v>210</v>
      </c>
      <c r="F26" s="643">
        <v>2821</v>
      </c>
      <c r="G26" s="643">
        <v>412</v>
      </c>
      <c r="H26" s="643">
        <v>15879</v>
      </c>
      <c r="I26" s="643">
        <v>0</v>
      </c>
      <c r="J26" s="643">
        <v>92</v>
      </c>
      <c r="K26" s="643">
        <v>77</v>
      </c>
      <c r="L26" s="643">
        <v>46</v>
      </c>
      <c r="M26" s="644">
        <v>21138</v>
      </c>
      <c r="N26" s="559">
        <f t="shared" si="0"/>
        <v>1624</v>
      </c>
      <c r="O26" s="559">
        <f t="shared" si="1"/>
        <v>3420</v>
      </c>
      <c r="P26" s="559">
        <f t="shared" si="2"/>
        <v>16094</v>
      </c>
      <c r="Q26" s="594">
        <f t="shared" si="3"/>
        <v>42594</v>
      </c>
      <c r="R26" s="560">
        <f t="shared" si="4"/>
        <v>2.0825286436917383E-2</v>
      </c>
      <c r="S26" s="559">
        <f t="shared" si="5"/>
        <v>21138</v>
      </c>
      <c r="T26" s="559">
        <f t="shared" si="6"/>
        <v>0</v>
      </c>
    </row>
    <row r="27" spans="1:20" s="29" customFormat="1" ht="12.75">
      <c r="A27" s="608" t="s">
        <v>60</v>
      </c>
      <c r="B27" s="643">
        <v>333</v>
      </c>
      <c r="C27" s="643">
        <v>0</v>
      </c>
      <c r="D27" s="555">
        <v>45</v>
      </c>
      <c r="E27" s="643">
        <v>32</v>
      </c>
      <c r="F27" s="643">
        <v>1297</v>
      </c>
      <c r="G27" s="643">
        <v>204</v>
      </c>
      <c r="H27" s="643">
        <v>9025</v>
      </c>
      <c r="I27" s="643">
        <v>0</v>
      </c>
      <c r="J27" s="643">
        <v>357</v>
      </c>
      <c r="K27" s="643">
        <v>155</v>
      </c>
      <c r="L27" s="643">
        <v>87</v>
      </c>
      <c r="M27" s="644">
        <v>11535</v>
      </c>
      <c r="N27" s="559">
        <f t="shared" si="0"/>
        <v>365</v>
      </c>
      <c r="O27" s="559">
        <f t="shared" si="1"/>
        <v>1546</v>
      </c>
      <c r="P27" s="559">
        <f t="shared" si="2"/>
        <v>9624</v>
      </c>
      <c r="Q27" s="594">
        <f t="shared" si="3"/>
        <v>17912</v>
      </c>
      <c r="R27" s="560">
        <f t="shared" si="4"/>
        <v>8.7576309024290783E-3</v>
      </c>
      <c r="S27" s="559">
        <f t="shared" si="5"/>
        <v>11535</v>
      </c>
      <c r="T27" s="559">
        <f t="shared" si="6"/>
        <v>0</v>
      </c>
    </row>
    <row r="28" spans="1:20" s="29" customFormat="1" ht="12.75">
      <c r="A28" s="608" t="s">
        <v>76</v>
      </c>
      <c r="B28" s="643">
        <v>3282</v>
      </c>
      <c r="C28" s="643">
        <v>45</v>
      </c>
      <c r="D28" s="555">
        <v>0</v>
      </c>
      <c r="E28" s="643">
        <v>236</v>
      </c>
      <c r="F28" s="643">
        <v>19336</v>
      </c>
      <c r="G28" s="643">
        <v>1481</v>
      </c>
      <c r="H28" s="643">
        <v>25199</v>
      </c>
      <c r="I28" s="643">
        <v>69</v>
      </c>
      <c r="J28" s="643">
        <v>266</v>
      </c>
      <c r="K28" s="643">
        <v>41</v>
      </c>
      <c r="L28" s="643">
        <v>265</v>
      </c>
      <c r="M28" s="644">
        <v>50219</v>
      </c>
      <c r="N28" s="559">
        <f t="shared" si="0"/>
        <v>3518</v>
      </c>
      <c r="O28" s="559">
        <f t="shared" si="1"/>
        <v>20862</v>
      </c>
      <c r="P28" s="559">
        <f t="shared" si="2"/>
        <v>25840</v>
      </c>
      <c r="Q28" s="594">
        <f t="shared" si="3"/>
        <v>123606</v>
      </c>
      <c r="R28" s="560">
        <f t="shared" si="4"/>
        <v>6.043410704140513E-2</v>
      </c>
      <c r="S28" s="559">
        <f t="shared" si="5"/>
        <v>50220</v>
      </c>
      <c r="T28" s="559">
        <f t="shared" si="6"/>
        <v>1</v>
      </c>
    </row>
    <row r="29" spans="1:20" s="29" customFormat="1" ht="12.75">
      <c r="A29" s="608" t="s">
        <v>77</v>
      </c>
      <c r="B29" s="643">
        <v>371</v>
      </c>
      <c r="C29" s="643">
        <v>0</v>
      </c>
      <c r="D29" s="555">
        <v>0</v>
      </c>
      <c r="E29" s="643">
        <v>58</v>
      </c>
      <c r="F29" s="643">
        <v>1986</v>
      </c>
      <c r="G29" s="643">
        <v>645</v>
      </c>
      <c r="H29" s="643">
        <v>8493</v>
      </c>
      <c r="I29" s="643">
        <v>11</v>
      </c>
      <c r="J29" s="643">
        <v>325</v>
      </c>
      <c r="K29" s="643">
        <v>308</v>
      </c>
      <c r="L29" s="643">
        <v>40</v>
      </c>
      <c r="M29" s="644">
        <v>12237</v>
      </c>
      <c r="N29" s="559">
        <f t="shared" si="0"/>
        <v>429</v>
      </c>
      <c r="O29" s="559">
        <f t="shared" si="1"/>
        <v>2631</v>
      </c>
      <c r="P29" s="559">
        <f t="shared" si="2"/>
        <v>9177</v>
      </c>
      <c r="Q29" s="594">
        <f t="shared" si="3"/>
        <v>21360</v>
      </c>
      <c r="R29" s="560">
        <f t="shared" si="4"/>
        <v>1.0443445515625566E-2</v>
      </c>
      <c r="S29" s="559">
        <f t="shared" si="5"/>
        <v>12237</v>
      </c>
      <c r="T29" s="559">
        <f t="shared" si="6"/>
        <v>0</v>
      </c>
    </row>
    <row r="30" spans="1:20" s="29" customFormat="1" ht="12.75">
      <c r="A30" s="608" t="s">
        <v>78</v>
      </c>
      <c r="B30" s="643">
        <v>2936</v>
      </c>
      <c r="C30" s="643">
        <v>0</v>
      </c>
      <c r="D30" s="555">
        <v>0</v>
      </c>
      <c r="E30" s="643">
        <v>292</v>
      </c>
      <c r="F30" s="643">
        <v>9853</v>
      </c>
      <c r="G30" s="643">
        <v>373</v>
      </c>
      <c r="H30" s="643">
        <v>30696</v>
      </c>
      <c r="I30" s="643">
        <v>0</v>
      </c>
      <c r="J30" s="643">
        <v>17</v>
      </c>
      <c r="K30" s="643">
        <v>145</v>
      </c>
      <c r="L30" s="643">
        <v>539</v>
      </c>
      <c r="M30" s="644">
        <v>44850</v>
      </c>
      <c r="N30" s="559">
        <f t="shared" si="0"/>
        <v>3228</v>
      </c>
      <c r="O30" s="559">
        <f t="shared" si="1"/>
        <v>10226</v>
      </c>
      <c r="P30" s="559">
        <f t="shared" si="2"/>
        <v>31397</v>
      </c>
      <c r="Q30" s="594">
        <f t="shared" si="3"/>
        <v>94355</v>
      </c>
      <c r="R30" s="560">
        <f t="shared" si="4"/>
        <v>4.6132551574290741E-2</v>
      </c>
      <c r="S30" s="559">
        <f t="shared" si="5"/>
        <v>44851</v>
      </c>
      <c r="T30" s="559">
        <f t="shared" si="6"/>
        <v>1</v>
      </c>
    </row>
    <row r="31" spans="1:20" s="29" customFormat="1" ht="12.75">
      <c r="A31" s="608" t="s">
        <v>79</v>
      </c>
      <c r="B31" s="643">
        <v>1250</v>
      </c>
      <c r="C31" s="643">
        <v>9</v>
      </c>
      <c r="D31" s="555">
        <v>146</v>
      </c>
      <c r="E31" s="643">
        <v>84</v>
      </c>
      <c r="F31" s="643">
        <v>2030</v>
      </c>
      <c r="G31" s="643">
        <v>275</v>
      </c>
      <c r="H31" s="643">
        <v>18376</v>
      </c>
      <c r="I31" s="643">
        <v>11</v>
      </c>
      <c r="J31" s="643">
        <v>40</v>
      </c>
      <c r="K31" s="643">
        <v>1675</v>
      </c>
      <c r="L31" s="643">
        <v>150</v>
      </c>
      <c r="M31" s="644">
        <v>24046</v>
      </c>
      <c r="N31" s="559">
        <f t="shared" si="0"/>
        <v>1334</v>
      </c>
      <c r="O31" s="559">
        <f t="shared" si="1"/>
        <v>2460</v>
      </c>
      <c r="P31" s="559">
        <f t="shared" si="2"/>
        <v>20252</v>
      </c>
      <c r="Q31" s="594">
        <f t="shared" si="3"/>
        <v>40972</v>
      </c>
      <c r="R31" s="560">
        <f t="shared" si="4"/>
        <v>2.0032249516208363E-2</v>
      </c>
      <c r="S31" s="559">
        <f t="shared" si="5"/>
        <v>24046</v>
      </c>
      <c r="T31" s="559">
        <f t="shared" si="6"/>
        <v>0</v>
      </c>
    </row>
    <row r="32" spans="1:20" s="29" customFormat="1" ht="12.75">
      <c r="A32" s="608" t="s">
        <v>80</v>
      </c>
      <c r="B32" s="643">
        <v>136</v>
      </c>
      <c r="C32" s="643">
        <v>0</v>
      </c>
      <c r="D32" s="555">
        <v>756</v>
      </c>
      <c r="E32" s="643">
        <v>75</v>
      </c>
      <c r="F32" s="643">
        <v>281</v>
      </c>
      <c r="G32" s="643">
        <v>301</v>
      </c>
      <c r="H32" s="643">
        <v>6936</v>
      </c>
      <c r="I32" s="643">
        <v>0</v>
      </c>
      <c r="J32" s="643">
        <v>5</v>
      </c>
      <c r="K32" s="643">
        <v>535</v>
      </c>
      <c r="L32" s="643">
        <v>88</v>
      </c>
      <c r="M32" s="644">
        <v>9113</v>
      </c>
      <c r="N32" s="559">
        <f>SUM(B32,E32)</f>
        <v>211</v>
      </c>
      <c r="O32" s="559">
        <f>SUM(C32,D32,G32,F32)</f>
        <v>1338</v>
      </c>
      <c r="P32" s="559">
        <f>SUM(H32:L32)</f>
        <v>7564</v>
      </c>
      <c r="Q32" s="594">
        <f t="shared" si="3"/>
        <v>13688</v>
      </c>
      <c r="R32" s="560">
        <f t="shared" si="4"/>
        <v>6.6924102161930125E-3</v>
      </c>
      <c r="S32" s="559">
        <f t="shared" si="5"/>
        <v>9113</v>
      </c>
      <c r="T32" s="559">
        <f t="shared" si="6"/>
        <v>0</v>
      </c>
    </row>
    <row r="33" spans="1:20" s="29" customFormat="1" ht="12.75">
      <c r="A33" s="608" t="s">
        <v>81</v>
      </c>
      <c r="B33" s="643">
        <v>2961</v>
      </c>
      <c r="C33" s="643">
        <v>30</v>
      </c>
      <c r="D33" s="555">
        <v>1501</v>
      </c>
      <c r="E33" s="643">
        <v>255</v>
      </c>
      <c r="F33" s="643">
        <v>6065</v>
      </c>
      <c r="G33" s="643">
        <v>885</v>
      </c>
      <c r="H33" s="643">
        <v>28622</v>
      </c>
      <c r="I33" s="643">
        <v>101</v>
      </c>
      <c r="J33" s="643">
        <v>218</v>
      </c>
      <c r="K33" s="643">
        <v>208</v>
      </c>
      <c r="L33" s="643">
        <v>351</v>
      </c>
      <c r="M33" s="644">
        <v>41198</v>
      </c>
      <c r="N33" s="559">
        <f t="shared" si="0"/>
        <v>3216</v>
      </c>
      <c r="O33" s="559">
        <f t="shared" si="1"/>
        <v>8481</v>
      </c>
      <c r="P33" s="559">
        <f t="shared" si="2"/>
        <v>29500</v>
      </c>
      <c r="Q33" s="594">
        <f t="shared" si="3"/>
        <v>87103</v>
      </c>
      <c r="R33" s="560">
        <f t="shared" si="4"/>
        <v>4.2586864922637344E-2</v>
      </c>
      <c r="S33" s="559">
        <f t="shared" si="5"/>
        <v>41197</v>
      </c>
      <c r="T33" s="559">
        <f t="shared" si="6"/>
        <v>-1</v>
      </c>
    </row>
    <row r="34" spans="1:20" s="1" customFormat="1" ht="12.75">
      <c r="A34" s="608" t="s">
        <v>52</v>
      </c>
      <c r="B34" s="643">
        <v>601</v>
      </c>
      <c r="C34" s="643">
        <v>3</v>
      </c>
      <c r="D34" s="555">
        <v>0</v>
      </c>
      <c r="E34" s="643">
        <v>51</v>
      </c>
      <c r="F34" s="643">
        <v>2388</v>
      </c>
      <c r="G34" s="643">
        <v>543</v>
      </c>
      <c r="H34" s="643">
        <v>17500</v>
      </c>
      <c r="I34" s="643">
        <v>94</v>
      </c>
      <c r="J34" s="643">
        <v>338</v>
      </c>
      <c r="K34" s="643">
        <v>590</v>
      </c>
      <c r="L34" s="643">
        <v>35</v>
      </c>
      <c r="M34" s="644">
        <v>22142</v>
      </c>
      <c r="N34" s="559">
        <f t="shared" si="0"/>
        <v>652</v>
      </c>
      <c r="O34" s="559">
        <f t="shared" si="1"/>
        <v>2934</v>
      </c>
      <c r="P34" s="559">
        <f t="shared" si="2"/>
        <v>18557</v>
      </c>
      <c r="Q34" s="594">
        <f t="shared" si="3"/>
        <v>33879</v>
      </c>
      <c r="R34" s="560">
        <f t="shared" si="4"/>
        <v>1.6564301995499933E-2</v>
      </c>
      <c r="S34" s="559">
        <f t="shared" si="5"/>
        <v>22143</v>
      </c>
      <c r="T34" s="559">
        <f t="shared" si="6"/>
        <v>1</v>
      </c>
    </row>
    <row r="35" spans="1:20" s="29" customFormat="1" ht="12.75">
      <c r="A35" s="608" t="s">
        <v>41</v>
      </c>
      <c r="B35" s="643">
        <v>444</v>
      </c>
      <c r="C35" s="643">
        <v>0</v>
      </c>
      <c r="D35" s="555">
        <v>0</v>
      </c>
      <c r="E35" s="643">
        <v>39</v>
      </c>
      <c r="F35" s="643">
        <v>1779</v>
      </c>
      <c r="G35" s="643">
        <v>629</v>
      </c>
      <c r="H35" s="643">
        <v>9458</v>
      </c>
      <c r="I35" s="643">
        <v>440</v>
      </c>
      <c r="J35" s="643">
        <v>215</v>
      </c>
      <c r="K35" s="643">
        <v>1161</v>
      </c>
      <c r="L35" s="643">
        <v>77</v>
      </c>
      <c r="M35" s="644">
        <v>14241</v>
      </c>
      <c r="N35" s="559">
        <f t="shared" si="0"/>
        <v>483</v>
      </c>
      <c r="O35" s="559">
        <f t="shared" si="1"/>
        <v>2408</v>
      </c>
      <c r="P35" s="559">
        <f t="shared" si="2"/>
        <v>11351</v>
      </c>
      <c r="Q35" s="594">
        <f t="shared" si="3"/>
        <v>23405</v>
      </c>
      <c r="R35" s="560">
        <f t="shared" si="4"/>
        <v>1.1443297860169305E-2</v>
      </c>
      <c r="S35" s="559">
        <f t="shared" si="5"/>
        <v>14242</v>
      </c>
      <c r="T35" s="559">
        <f t="shared" si="6"/>
        <v>1</v>
      </c>
    </row>
    <row r="36" spans="1:20" s="29" customFormat="1" ht="12.75">
      <c r="A36" s="608" t="s">
        <v>82</v>
      </c>
      <c r="B36" s="643">
        <v>3000</v>
      </c>
      <c r="C36" s="643">
        <v>41</v>
      </c>
      <c r="D36" s="555">
        <v>0</v>
      </c>
      <c r="E36" s="643">
        <v>582</v>
      </c>
      <c r="F36" s="643">
        <v>14920</v>
      </c>
      <c r="G36" s="643">
        <v>775</v>
      </c>
      <c r="H36" s="643">
        <v>29755</v>
      </c>
      <c r="I36" s="643">
        <v>0</v>
      </c>
      <c r="J36" s="643">
        <v>94</v>
      </c>
      <c r="K36" s="643">
        <v>2</v>
      </c>
      <c r="L36" s="643">
        <v>520</v>
      </c>
      <c r="M36" s="644">
        <v>49688</v>
      </c>
      <c r="N36" s="559">
        <f t="shared" si="0"/>
        <v>3582</v>
      </c>
      <c r="O36" s="559">
        <f t="shared" si="1"/>
        <v>15736</v>
      </c>
      <c r="P36" s="559">
        <f t="shared" si="2"/>
        <v>30371</v>
      </c>
      <c r="Q36" s="594">
        <f t="shared" si="3"/>
        <v>113399</v>
      </c>
      <c r="R36" s="560">
        <f t="shared" si="4"/>
        <v>5.5443645975019828E-2</v>
      </c>
      <c r="S36" s="559">
        <f t="shared" si="5"/>
        <v>49689</v>
      </c>
      <c r="T36" s="559">
        <f t="shared" si="6"/>
        <v>1</v>
      </c>
    </row>
    <row r="37" spans="1:20" s="29" customFormat="1" ht="12.75">
      <c r="A37" s="608" t="s">
        <v>54</v>
      </c>
      <c r="B37" s="643">
        <v>1033</v>
      </c>
      <c r="C37" s="643">
        <v>0</v>
      </c>
      <c r="D37" s="555">
        <v>0</v>
      </c>
      <c r="E37" s="643">
        <v>49</v>
      </c>
      <c r="F37" s="643">
        <v>2352</v>
      </c>
      <c r="G37" s="643">
        <v>646</v>
      </c>
      <c r="H37" s="643">
        <v>15224</v>
      </c>
      <c r="I37" s="643">
        <v>462</v>
      </c>
      <c r="J37" s="643">
        <v>1258</v>
      </c>
      <c r="K37" s="643">
        <v>718</v>
      </c>
      <c r="L37" s="643">
        <v>36</v>
      </c>
      <c r="M37" s="644">
        <v>21777</v>
      </c>
      <c r="N37" s="559">
        <f t="shared" si="0"/>
        <v>1082</v>
      </c>
      <c r="O37" s="559">
        <f t="shared" si="1"/>
        <v>2998</v>
      </c>
      <c r="P37" s="559">
        <f t="shared" si="2"/>
        <v>17698</v>
      </c>
      <c r="Q37" s="594">
        <f t="shared" si="3"/>
        <v>37512</v>
      </c>
      <c r="R37" s="560">
        <f t="shared" si="4"/>
        <v>1.8340567798789616E-2</v>
      </c>
      <c r="S37" s="559">
        <f t="shared" si="5"/>
        <v>21778</v>
      </c>
      <c r="T37" s="559">
        <f t="shared" si="6"/>
        <v>1</v>
      </c>
    </row>
    <row r="38" spans="1:20" s="29" customFormat="1" ht="12.75">
      <c r="A38" s="608" t="s">
        <v>321</v>
      </c>
      <c r="B38" s="643">
        <v>1276</v>
      </c>
      <c r="C38" s="643">
        <v>0</v>
      </c>
      <c r="D38" s="555">
        <v>0</v>
      </c>
      <c r="E38" s="643">
        <v>140</v>
      </c>
      <c r="F38" s="643">
        <v>6041</v>
      </c>
      <c r="G38" s="643">
        <v>600</v>
      </c>
      <c r="H38" s="643">
        <v>24907</v>
      </c>
      <c r="I38" s="643">
        <v>0</v>
      </c>
      <c r="J38" s="643">
        <v>67</v>
      </c>
      <c r="K38" s="643">
        <v>774</v>
      </c>
      <c r="L38" s="643">
        <v>202</v>
      </c>
      <c r="M38" s="644">
        <v>34007</v>
      </c>
      <c r="N38" s="559">
        <f t="shared" si="0"/>
        <v>1416</v>
      </c>
      <c r="O38" s="559">
        <f t="shared" si="1"/>
        <v>6641</v>
      </c>
      <c r="P38" s="559">
        <f t="shared" si="2"/>
        <v>25950</v>
      </c>
      <c r="Q38" s="594">
        <f t="shared" si="3"/>
        <v>60033</v>
      </c>
      <c r="R38" s="560">
        <f t="shared" si="4"/>
        <v>2.9351655647918987E-2</v>
      </c>
      <c r="S38" s="559">
        <f t="shared" si="5"/>
        <v>34007</v>
      </c>
      <c r="T38" s="559">
        <f t="shared" si="6"/>
        <v>0</v>
      </c>
    </row>
    <row r="39" spans="1:20" s="29" customFormat="1" ht="12.75">
      <c r="A39" s="608" t="s">
        <v>42</v>
      </c>
      <c r="B39" s="643">
        <v>219</v>
      </c>
      <c r="C39" s="643">
        <v>0</v>
      </c>
      <c r="D39" s="555">
        <v>0</v>
      </c>
      <c r="E39" s="643">
        <v>36</v>
      </c>
      <c r="F39" s="643">
        <v>1146</v>
      </c>
      <c r="G39" s="643">
        <v>227</v>
      </c>
      <c r="H39" s="643">
        <v>8759</v>
      </c>
      <c r="I39" s="643">
        <v>49</v>
      </c>
      <c r="J39" s="643">
        <v>72</v>
      </c>
      <c r="K39" s="643">
        <v>584</v>
      </c>
      <c r="L39" s="643">
        <v>185</v>
      </c>
      <c r="M39" s="644">
        <v>11277</v>
      </c>
      <c r="N39" s="559">
        <f t="shared" si="0"/>
        <v>255</v>
      </c>
      <c r="O39" s="559">
        <f t="shared" si="1"/>
        <v>1373</v>
      </c>
      <c r="P39" s="559">
        <f t="shared" si="2"/>
        <v>9649</v>
      </c>
      <c r="Q39" s="594">
        <f t="shared" si="3"/>
        <v>16318</v>
      </c>
      <c r="R39" s="560">
        <f t="shared" si="4"/>
        <v>7.9782838915720029E-3</v>
      </c>
      <c r="S39" s="559">
        <f t="shared" si="5"/>
        <v>11277</v>
      </c>
      <c r="T39" s="559">
        <f t="shared" si="6"/>
        <v>0</v>
      </c>
    </row>
    <row r="40" spans="1:20" s="29" customFormat="1" ht="12.75">
      <c r="A40" s="608" t="s">
        <v>83</v>
      </c>
      <c r="B40" s="643">
        <v>1361</v>
      </c>
      <c r="C40" s="643">
        <v>0</v>
      </c>
      <c r="D40" s="555">
        <v>1630</v>
      </c>
      <c r="E40" s="643">
        <v>129</v>
      </c>
      <c r="F40" s="643">
        <v>3877</v>
      </c>
      <c r="G40" s="643">
        <v>541</v>
      </c>
      <c r="H40" s="643">
        <v>11651</v>
      </c>
      <c r="I40" s="643">
        <v>0</v>
      </c>
      <c r="J40" s="643">
        <v>174</v>
      </c>
      <c r="K40" s="643">
        <v>51</v>
      </c>
      <c r="L40" s="643">
        <v>1</v>
      </c>
      <c r="M40" s="644">
        <v>19416</v>
      </c>
      <c r="N40" s="559">
        <f t="shared" si="0"/>
        <v>1490</v>
      </c>
      <c r="O40" s="559">
        <f t="shared" si="1"/>
        <v>6048</v>
      </c>
      <c r="P40" s="559">
        <f t="shared" si="2"/>
        <v>11877</v>
      </c>
      <c r="Q40" s="594">
        <f t="shared" si="3"/>
        <v>44921</v>
      </c>
      <c r="R40" s="560">
        <f t="shared" si="4"/>
        <v>2.1963015730684269E-2</v>
      </c>
      <c r="S40" s="559">
        <f t="shared" si="5"/>
        <v>19415</v>
      </c>
      <c r="T40" s="559">
        <f t="shared" si="6"/>
        <v>-1</v>
      </c>
    </row>
    <row r="41" spans="1:20" s="29" customFormat="1" ht="12.75">
      <c r="A41" s="620" t="s">
        <v>23</v>
      </c>
      <c r="B41" s="643">
        <v>1164</v>
      </c>
      <c r="C41" s="643">
        <v>0</v>
      </c>
      <c r="D41" s="555">
        <v>0</v>
      </c>
      <c r="E41" s="643">
        <v>104</v>
      </c>
      <c r="F41" s="643">
        <v>4109</v>
      </c>
      <c r="G41" s="643">
        <v>285</v>
      </c>
      <c r="H41" s="643">
        <v>19407</v>
      </c>
      <c r="I41" s="643">
        <v>0</v>
      </c>
      <c r="J41" s="643">
        <v>68</v>
      </c>
      <c r="K41" s="643">
        <v>351</v>
      </c>
      <c r="L41" s="643">
        <v>443</v>
      </c>
      <c r="M41" s="644">
        <v>25930</v>
      </c>
      <c r="N41" s="559">
        <f t="shared" si="0"/>
        <v>1268</v>
      </c>
      <c r="O41" s="559">
        <f t="shared" si="1"/>
        <v>4394</v>
      </c>
      <c r="P41" s="559">
        <f t="shared" si="2"/>
        <v>20269</v>
      </c>
      <c r="Q41" s="594">
        <f t="shared" si="3"/>
        <v>46131</v>
      </c>
      <c r="R41" s="560">
        <f t="shared" si="4"/>
        <v>2.2554615406428977E-2</v>
      </c>
      <c r="S41" s="559">
        <f t="shared" si="5"/>
        <v>25931</v>
      </c>
      <c r="T41" s="559">
        <f t="shared" si="6"/>
        <v>1</v>
      </c>
    </row>
    <row r="42" spans="1:20" s="29" customFormat="1" ht="12.75">
      <c r="A42" s="608" t="s">
        <v>33</v>
      </c>
      <c r="B42" s="643">
        <v>468</v>
      </c>
      <c r="C42" s="643">
        <v>2</v>
      </c>
      <c r="D42" s="555">
        <v>0</v>
      </c>
      <c r="E42" s="643">
        <v>42</v>
      </c>
      <c r="F42" s="643">
        <v>2025</v>
      </c>
      <c r="G42" s="643">
        <v>492</v>
      </c>
      <c r="H42" s="643">
        <v>14650</v>
      </c>
      <c r="I42" s="643">
        <v>0</v>
      </c>
      <c r="J42" s="643">
        <v>1207</v>
      </c>
      <c r="K42" s="643">
        <v>17</v>
      </c>
      <c r="L42" s="643">
        <v>243</v>
      </c>
      <c r="M42" s="644">
        <v>19145</v>
      </c>
      <c r="N42" s="559">
        <f t="shared" si="0"/>
        <v>510</v>
      </c>
      <c r="O42" s="559">
        <f t="shared" si="1"/>
        <v>2519</v>
      </c>
      <c r="P42" s="559">
        <f t="shared" si="2"/>
        <v>16117</v>
      </c>
      <c r="Q42" s="594">
        <f t="shared" si="3"/>
        <v>28774</v>
      </c>
      <c r="R42" s="560">
        <f t="shared" si="4"/>
        <v>1.4068338074279495E-2</v>
      </c>
      <c r="S42" s="559">
        <f t="shared" si="5"/>
        <v>19146</v>
      </c>
      <c r="T42" s="559">
        <f t="shared" si="6"/>
        <v>1</v>
      </c>
    </row>
    <row r="43" spans="1:20" s="29" customFormat="1" ht="12.75">
      <c r="A43" s="608" t="s">
        <v>322</v>
      </c>
      <c r="B43" s="643">
        <v>747</v>
      </c>
      <c r="C43" s="643">
        <v>0</v>
      </c>
      <c r="D43" s="555">
        <v>0</v>
      </c>
      <c r="E43" s="643">
        <v>163</v>
      </c>
      <c r="F43" s="643">
        <v>3586</v>
      </c>
      <c r="G43" s="643">
        <v>277</v>
      </c>
      <c r="H43" s="643">
        <v>25953</v>
      </c>
      <c r="I43" s="643">
        <v>12</v>
      </c>
      <c r="J43" s="643">
        <v>1522</v>
      </c>
      <c r="K43" s="643">
        <v>664</v>
      </c>
      <c r="L43" s="643">
        <v>132</v>
      </c>
      <c r="M43" s="644">
        <v>33056</v>
      </c>
      <c r="N43" s="559">
        <f t="shared" si="0"/>
        <v>910</v>
      </c>
      <c r="O43" s="559">
        <f t="shared" si="1"/>
        <v>3863</v>
      </c>
      <c r="P43" s="559">
        <f t="shared" si="2"/>
        <v>28283</v>
      </c>
      <c r="Q43" s="594">
        <f>(10*N43)+(3*O43)+P43</f>
        <v>48972</v>
      </c>
      <c r="R43" s="560">
        <f>SUM(Q43/($Q$45+$Q$57))</f>
        <v>2.3943652331049399E-2</v>
      </c>
      <c r="S43" s="559">
        <f>SUM(N43:P43)</f>
        <v>33056</v>
      </c>
      <c r="T43" s="559">
        <f t="shared" si="6"/>
        <v>0</v>
      </c>
    </row>
    <row r="44" spans="1:20" s="607" customFormat="1" ht="11.25">
      <c r="A44" s="608"/>
      <c r="B44" s="609"/>
      <c r="C44" s="609"/>
      <c r="D44" s="610"/>
      <c r="E44" s="609"/>
      <c r="F44" s="609"/>
      <c r="G44" s="609"/>
      <c r="H44" s="609"/>
      <c r="I44" s="609"/>
      <c r="J44" s="609"/>
      <c r="K44" s="609"/>
      <c r="L44" s="609"/>
      <c r="M44" s="611"/>
    </row>
    <row r="45" spans="1:20" s="607" customFormat="1" ht="11.25">
      <c r="A45" s="629" t="s">
        <v>331</v>
      </c>
      <c r="B45" s="630">
        <f t="shared" ref="B45:T45" si="7">SUM(B5:B43)</f>
        <v>40975</v>
      </c>
      <c r="C45" s="630">
        <f t="shared" si="7"/>
        <v>172</v>
      </c>
      <c r="D45" s="630">
        <f t="shared" si="7"/>
        <v>6208</v>
      </c>
      <c r="E45" s="630">
        <f t="shared" si="7"/>
        <v>4498</v>
      </c>
      <c r="F45" s="630">
        <f t="shared" si="7"/>
        <v>164464</v>
      </c>
      <c r="G45" s="630">
        <f t="shared" si="7"/>
        <v>23475</v>
      </c>
      <c r="H45" s="630">
        <f t="shared" si="7"/>
        <v>711304</v>
      </c>
      <c r="I45" s="630">
        <f t="shared" si="7"/>
        <v>6105</v>
      </c>
      <c r="J45" s="630">
        <f t="shared" si="7"/>
        <v>13530</v>
      </c>
      <c r="K45" s="630">
        <f t="shared" si="7"/>
        <v>14582</v>
      </c>
      <c r="L45" s="630">
        <f t="shared" si="7"/>
        <v>7244</v>
      </c>
      <c r="M45" s="630">
        <f t="shared" si="7"/>
        <v>992542</v>
      </c>
      <c r="N45" s="630">
        <f t="shared" si="7"/>
        <v>45473</v>
      </c>
      <c r="O45" s="630">
        <f t="shared" si="7"/>
        <v>194319</v>
      </c>
      <c r="P45" s="630">
        <f t="shared" si="7"/>
        <v>752765</v>
      </c>
      <c r="Q45" s="630">
        <f t="shared" si="7"/>
        <v>1790452</v>
      </c>
      <c r="R45" s="635">
        <f t="shared" si="7"/>
        <v>0.8753973740797204</v>
      </c>
      <c r="S45" s="636">
        <f t="shared" si="7"/>
        <v>992557</v>
      </c>
      <c r="T45" s="636">
        <f t="shared" si="7"/>
        <v>15</v>
      </c>
    </row>
    <row r="46" spans="1:20" s="607" customFormat="1" ht="11.25">
      <c r="A46" s="612" t="s">
        <v>325</v>
      </c>
      <c r="B46" s="613">
        <v>40987</v>
      </c>
      <c r="C46" s="613">
        <v>353</v>
      </c>
      <c r="D46" s="614">
        <v>3348</v>
      </c>
      <c r="E46" s="613">
        <v>4881</v>
      </c>
      <c r="F46" s="613">
        <v>148280</v>
      </c>
      <c r="G46" s="613">
        <v>29684</v>
      </c>
      <c r="H46" s="613">
        <v>718679</v>
      </c>
      <c r="I46" s="613">
        <v>7033</v>
      </c>
      <c r="J46" s="613">
        <v>27613</v>
      </c>
      <c r="K46" s="613">
        <v>13200</v>
      </c>
      <c r="L46" s="613">
        <v>8321</v>
      </c>
      <c r="M46" s="613">
        <v>1002378</v>
      </c>
    </row>
    <row r="47" spans="1:20" s="607" customFormat="1" ht="11.25">
      <c r="A47" s="612" t="s">
        <v>326</v>
      </c>
      <c r="B47" s="615">
        <f>(B45-B46)/B46</f>
        <v>-2.9277575816722377E-4</v>
      </c>
      <c r="C47" s="615">
        <f t="shared" ref="C47:M47" si="8">(C45-C46)/C46</f>
        <v>-0.5127478753541076</v>
      </c>
      <c r="D47" s="615">
        <f t="shared" si="8"/>
        <v>0.85424133811230585</v>
      </c>
      <c r="E47" s="615">
        <f t="shared" si="8"/>
        <v>-7.8467527146076618E-2</v>
      </c>
      <c r="F47" s="615">
        <f t="shared" si="8"/>
        <v>0.10914486107364446</v>
      </c>
      <c r="G47" s="615">
        <f t="shared" si="8"/>
        <v>-0.20916992319094463</v>
      </c>
      <c r="H47" s="615">
        <f t="shared" si="8"/>
        <v>-1.0261883260816024E-2</v>
      </c>
      <c r="I47" s="615">
        <f t="shared" si="8"/>
        <v>-0.13194938148727428</v>
      </c>
      <c r="J47" s="615">
        <f t="shared" si="8"/>
        <v>-0.51001339948574942</v>
      </c>
      <c r="K47" s="615">
        <f t="shared" si="8"/>
        <v>0.10469696969696969</v>
      </c>
      <c r="L47" s="615">
        <f t="shared" si="8"/>
        <v>-0.12943155870688619</v>
      </c>
      <c r="M47" s="615">
        <f t="shared" si="8"/>
        <v>-9.8126654814850289E-3</v>
      </c>
    </row>
    <row r="48" spans="1:20" s="607" customFormat="1" ht="11.25">
      <c r="A48" s="612"/>
      <c r="B48" s="615"/>
      <c r="C48" s="615"/>
      <c r="D48" s="615"/>
      <c r="E48" s="615"/>
      <c r="F48" s="615"/>
      <c r="G48" s="615"/>
      <c r="H48" s="615"/>
      <c r="I48" s="615"/>
      <c r="J48" s="615"/>
      <c r="K48" s="615"/>
      <c r="L48" s="615"/>
      <c r="M48" s="615"/>
    </row>
    <row r="49" spans="1:20" s="607" customFormat="1" ht="11.25">
      <c r="A49" s="577" t="s">
        <v>126</v>
      </c>
      <c r="B49" s="631"/>
      <c r="C49" s="631"/>
      <c r="D49" s="631"/>
      <c r="E49" s="631"/>
      <c r="F49" s="631"/>
      <c r="G49" s="631"/>
      <c r="H49" s="631"/>
      <c r="I49" s="631"/>
      <c r="J49" s="631"/>
      <c r="K49" s="631"/>
      <c r="L49" s="631"/>
      <c r="M49" s="631">
        <v>18085</v>
      </c>
      <c r="N49" s="631">
        <v>715</v>
      </c>
      <c r="O49" s="631">
        <v>3195</v>
      </c>
      <c r="P49" s="631">
        <v>14175</v>
      </c>
      <c r="Q49" s="631">
        <f t="shared" ref="Q49:Q56" si="9">(10*N49)+(3*O49)+P49</f>
        <v>30910</v>
      </c>
      <c r="R49" s="637">
        <f>SUM(Q49/($Q$45+$Q$57))</f>
        <v>1.5112682625842052E-2</v>
      </c>
      <c r="S49" s="631">
        <f>SUM(N49:P49)</f>
        <v>18085</v>
      </c>
      <c r="T49" s="559">
        <f>S49-M49</f>
        <v>0</v>
      </c>
    </row>
    <row r="50" spans="1:20" s="607" customFormat="1" ht="11.25">
      <c r="A50" s="577" t="s">
        <v>124</v>
      </c>
      <c r="B50" s="631"/>
      <c r="C50" s="631"/>
      <c r="D50" s="631"/>
      <c r="E50" s="631"/>
      <c r="F50" s="631"/>
      <c r="G50" s="631"/>
      <c r="H50" s="631"/>
      <c r="I50" s="631"/>
      <c r="J50" s="631"/>
      <c r="K50" s="631"/>
      <c r="L50" s="631"/>
      <c r="M50" s="631">
        <v>2120</v>
      </c>
      <c r="N50" s="631">
        <v>245</v>
      </c>
      <c r="O50" s="631">
        <v>380</v>
      </c>
      <c r="P50" s="631">
        <v>1495</v>
      </c>
      <c r="Q50" s="631">
        <v>2120</v>
      </c>
      <c r="R50" s="637">
        <f t="shared" ref="R50:R56" si="10">SUM(Q50/($Q$45+$Q$57))</f>
        <v>1.0365217459328744E-3</v>
      </c>
      <c r="S50" s="631">
        <f>SUM(N50:P50)</f>
        <v>2120</v>
      </c>
      <c r="T50" s="559">
        <f t="shared" ref="T50:T56" si="11">S50-M50</f>
        <v>0</v>
      </c>
    </row>
    <row r="51" spans="1:20" s="607" customFormat="1" ht="11.25">
      <c r="A51" s="577" t="s">
        <v>121</v>
      </c>
      <c r="B51" s="631"/>
      <c r="C51" s="631"/>
      <c r="D51" s="631"/>
      <c r="E51" s="631"/>
      <c r="F51" s="631"/>
      <c r="G51" s="631"/>
      <c r="H51" s="631"/>
      <c r="I51" s="631"/>
      <c r="J51" s="631"/>
      <c r="K51" s="631"/>
      <c r="L51" s="631"/>
      <c r="M51" s="631">
        <v>17670</v>
      </c>
      <c r="N51" s="631">
        <v>900</v>
      </c>
      <c r="O51" s="631">
        <v>5610</v>
      </c>
      <c r="P51" s="631">
        <v>11160</v>
      </c>
      <c r="Q51" s="631">
        <f t="shared" si="9"/>
        <v>36990</v>
      </c>
      <c r="R51" s="637">
        <f t="shared" si="10"/>
        <v>1.8085348765121238E-2</v>
      </c>
      <c r="S51" s="631">
        <f t="shared" ref="S51:S56" si="12">SUM(N51:P51)</f>
        <v>17670</v>
      </c>
      <c r="T51" s="559">
        <f t="shared" si="11"/>
        <v>0</v>
      </c>
    </row>
    <row r="52" spans="1:20" s="607" customFormat="1" ht="11.25">
      <c r="A52" s="577" t="s">
        <v>112</v>
      </c>
      <c r="B52" s="631"/>
      <c r="C52" s="631"/>
      <c r="D52" s="631"/>
      <c r="E52" s="631"/>
      <c r="F52" s="631"/>
      <c r="G52" s="631"/>
      <c r="H52" s="631"/>
      <c r="I52" s="631"/>
      <c r="J52" s="631"/>
      <c r="K52" s="631"/>
      <c r="L52" s="631"/>
      <c r="M52" s="631">
        <v>32820</v>
      </c>
      <c r="N52" s="631">
        <v>2135</v>
      </c>
      <c r="O52" s="631">
        <v>9375</v>
      </c>
      <c r="P52" s="631">
        <v>21310</v>
      </c>
      <c r="Q52" s="631">
        <f t="shared" si="9"/>
        <v>70785</v>
      </c>
      <c r="R52" s="637">
        <f t="shared" si="10"/>
        <v>3.4608581031065337E-2</v>
      </c>
      <c r="S52" s="631">
        <f t="shared" si="12"/>
        <v>32820</v>
      </c>
      <c r="T52" s="559">
        <f t="shared" si="11"/>
        <v>0</v>
      </c>
    </row>
    <row r="53" spans="1:20" s="607" customFormat="1" ht="11.25">
      <c r="A53" s="577" t="s">
        <v>123</v>
      </c>
      <c r="B53" s="631"/>
      <c r="C53" s="631"/>
      <c r="D53" s="631"/>
      <c r="E53" s="631"/>
      <c r="F53" s="631"/>
      <c r="G53" s="631"/>
      <c r="H53" s="631"/>
      <c r="I53" s="631"/>
      <c r="J53" s="631"/>
      <c r="K53" s="631"/>
      <c r="L53" s="631"/>
      <c r="M53" s="631">
        <v>12945</v>
      </c>
      <c r="N53" s="631">
        <v>885</v>
      </c>
      <c r="O53" s="631">
        <v>4765</v>
      </c>
      <c r="P53" s="631">
        <v>7295</v>
      </c>
      <c r="Q53" s="631">
        <f t="shared" si="9"/>
        <v>30440</v>
      </c>
      <c r="R53" s="637">
        <f t="shared" si="10"/>
        <v>1.488288771047014E-2</v>
      </c>
      <c r="S53" s="631">
        <f t="shared" si="12"/>
        <v>12945</v>
      </c>
      <c r="T53" s="559">
        <f t="shared" si="11"/>
        <v>0</v>
      </c>
    </row>
    <row r="54" spans="1:20" s="607" customFormat="1" ht="11.25">
      <c r="A54" s="577" t="s">
        <v>125</v>
      </c>
      <c r="B54" s="631"/>
      <c r="C54" s="631"/>
      <c r="D54" s="631"/>
      <c r="E54" s="631"/>
      <c r="F54" s="631"/>
      <c r="G54" s="631"/>
      <c r="H54" s="631"/>
      <c r="I54" s="631"/>
      <c r="J54" s="631"/>
      <c r="K54" s="631"/>
      <c r="L54" s="631"/>
      <c r="M54" s="631">
        <v>18175</v>
      </c>
      <c r="N54" s="631">
        <v>1220</v>
      </c>
      <c r="O54" s="631">
        <v>2230</v>
      </c>
      <c r="P54" s="631">
        <v>14725</v>
      </c>
      <c r="Q54" s="631">
        <f t="shared" si="9"/>
        <v>33615</v>
      </c>
      <c r="R54" s="637">
        <f t="shared" si="10"/>
        <v>1.6435225702610176E-2</v>
      </c>
      <c r="S54" s="631">
        <f t="shared" si="12"/>
        <v>18175</v>
      </c>
      <c r="T54" s="559">
        <f t="shared" si="11"/>
        <v>0</v>
      </c>
    </row>
    <row r="55" spans="1:20" s="607" customFormat="1" ht="11.25">
      <c r="A55" s="577" t="s">
        <v>120</v>
      </c>
      <c r="B55" s="631"/>
      <c r="C55" s="631"/>
      <c r="D55" s="631"/>
      <c r="E55" s="631"/>
      <c r="F55" s="631"/>
      <c r="G55" s="631"/>
      <c r="H55" s="631"/>
      <c r="I55" s="631"/>
      <c r="J55" s="631"/>
      <c r="K55" s="631"/>
      <c r="L55" s="631"/>
      <c r="M55" s="631">
        <v>9470</v>
      </c>
      <c r="N55" s="631">
        <v>505</v>
      </c>
      <c r="O55" s="631">
        <v>2295</v>
      </c>
      <c r="P55" s="631">
        <v>6670</v>
      </c>
      <c r="Q55" s="631">
        <f>(10*N55)+(3*O55)+P55</f>
        <v>18605</v>
      </c>
      <c r="R55" s="637">
        <f t="shared" si="10"/>
        <v>9.096456171264684E-3</v>
      </c>
      <c r="S55" s="631">
        <f t="shared" si="12"/>
        <v>9470</v>
      </c>
      <c r="T55" s="559">
        <f t="shared" si="11"/>
        <v>0</v>
      </c>
    </row>
    <row r="56" spans="1:20" s="607" customFormat="1" ht="11.25">
      <c r="A56" s="577" t="s">
        <v>122</v>
      </c>
      <c r="B56" s="631"/>
      <c r="C56" s="631"/>
      <c r="D56" s="631"/>
      <c r="E56" s="631"/>
      <c r="F56" s="631"/>
      <c r="G56" s="631"/>
      <c r="H56" s="631"/>
      <c r="I56" s="631"/>
      <c r="J56" s="631"/>
      <c r="K56" s="631"/>
      <c r="L56" s="631"/>
      <c r="M56" s="631">
        <v>17220</v>
      </c>
      <c r="N56" s="631">
        <v>855</v>
      </c>
      <c r="O56" s="631">
        <v>3235</v>
      </c>
      <c r="P56" s="631">
        <v>13130</v>
      </c>
      <c r="Q56" s="631">
        <f t="shared" si="9"/>
        <v>31385</v>
      </c>
      <c r="R56" s="637">
        <f t="shared" si="10"/>
        <v>1.5344922167973238E-2</v>
      </c>
      <c r="S56" s="631">
        <f t="shared" si="12"/>
        <v>17220</v>
      </c>
      <c r="T56" s="559">
        <f t="shared" si="11"/>
        <v>0</v>
      </c>
    </row>
    <row r="57" spans="1:20" s="607" customFormat="1" ht="11.25">
      <c r="A57" s="567" t="s">
        <v>332</v>
      </c>
      <c r="B57" s="632"/>
      <c r="C57" s="632"/>
      <c r="D57" s="632"/>
      <c r="E57" s="632"/>
      <c r="F57" s="632"/>
      <c r="G57" s="632"/>
      <c r="H57" s="632"/>
      <c r="I57" s="632"/>
      <c r="J57" s="632"/>
      <c r="K57" s="632"/>
      <c r="L57" s="632"/>
      <c r="M57" s="632">
        <f t="shared" ref="M57:T57" si="13">SUM(M49:M56)</f>
        <v>128505</v>
      </c>
      <c r="N57" s="632">
        <f t="shared" si="13"/>
        <v>7460</v>
      </c>
      <c r="O57" s="632">
        <f t="shared" si="13"/>
        <v>31085</v>
      </c>
      <c r="P57" s="632">
        <f t="shared" si="13"/>
        <v>89960</v>
      </c>
      <c r="Q57" s="632">
        <f t="shared" si="13"/>
        <v>254850</v>
      </c>
      <c r="R57" s="638">
        <f t="shared" si="13"/>
        <v>0.12460262592027975</v>
      </c>
      <c r="S57" s="640">
        <f t="shared" si="13"/>
        <v>128505</v>
      </c>
      <c r="T57" s="640">
        <f t="shared" si="13"/>
        <v>0</v>
      </c>
    </row>
    <row r="58" spans="1:20" s="607" customFormat="1" ht="11.25">
      <c r="A58" s="574"/>
      <c r="B58" s="631"/>
      <c r="C58" s="631"/>
      <c r="D58" s="631"/>
      <c r="E58" s="631"/>
      <c r="F58" s="631"/>
      <c r="G58" s="631"/>
      <c r="H58" s="631"/>
      <c r="I58" s="631"/>
      <c r="J58" s="631"/>
      <c r="K58" s="631"/>
      <c r="L58" s="631"/>
      <c r="M58" s="631"/>
      <c r="N58" s="631"/>
      <c r="O58" s="631"/>
      <c r="P58" s="631"/>
      <c r="Q58" s="631"/>
      <c r="R58" s="631"/>
      <c r="S58" s="631"/>
      <c r="T58" s="631"/>
    </row>
    <row r="59" spans="1:20" ht="11.25">
      <c r="A59" s="585" t="s">
        <v>132</v>
      </c>
      <c r="B59" s="633"/>
      <c r="C59" s="633"/>
      <c r="D59" s="634"/>
      <c r="E59" s="633"/>
      <c r="F59" s="633"/>
      <c r="G59" s="633"/>
      <c r="H59" s="633"/>
      <c r="I59" s="633"/>
      <c r="J59" s="633"/>
      <c r="K59" s="633"/>
      <c r="L59" s="633"/>
      <c r="M59" s="633">
        <f t="shared" ref="M59:T59" si="14">SUM(M45,M57)</f>
        <v>1121047</v>
      </c>
      <c r="N59" s="633">
        <f t="shared" si="14"/>
        <v>52933</v>
      </c>
      <c r="O59" s="633">
        <f t="shared" si="14"/>
        <v>225404</v>
      </c>
      <c r="P59" s="633">
        <f t="shared" si="14"/>
        <v>842725</v>
      </c>
      <c r="Q59" s="633">
        <f t="shared" si="14"/>
        <v>2045302</v>
      </c>
      <c r="R59" s="639">
        <f t="shared" si="14"/>
        <v>1.0000000000000002</v>
      </c>
      <c r="S59" s="641">
        <f t="shared" si="14"/>
        <v>1121062</v>
      </c>
      <c r="T59" s="641">
        <f t="shared" si="14"/>
        <v>15</v>
      </c>
    </row>
    <row r="60" spans="1:20" ht="11.25">
      <c r="A60" s="628"/>
    </row>
    <row r="61" spans="1:20" ht="11.25">
      <c r="A61" s="616" t="s">
        <v>327</v>
      </c>
    </row>
    <row r="62" spans="1:20" ht="11.25">
      <c r="A62" s="616" t="s">
        <v>328</v>
      </c>
    </row>
    <row r="63" spans="1:20" ht="11.25">
      <c r="A63" s="616" t="s">
        <v>313</v>
      </c>
    </row>
  </sheetData>
  <autoFilter ref="A4:M4" xr:uid="{00000000-0009-0000-0000-000015000000}">
    <sortState xmlns:xlrd2="http://schemas.microsoft.com/office/spreadsheetml/2017/richdata2" ref="A5:M43">
      <sortCondition ref="A4"/>
    </sortState>
  </autoFilter>
  <hyperlinks>
    <hyperlink ref="A1" location="Index!A1" display="&lt; Back to Contents &gt;" xr:uid="{00000000-0004-0000-1500-000000000000}"/>
    <hyperlink ref="R1" location="'Ave weight 1996-2013'!_FilterDatabase" display="Ave weight 1996-2013" xr:uid="{00000000-0004-0000-1500-000001000000}"/>
  </hyperlinks>
  <pageMargins left="0.39370078740157483" right="0.31496062992125984" top="0.59055118110236227" bottom="0.39370078740157483" header="0" footer="0"/>
  <pageSetup scale="6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63"/>
  <sheetViews>
    <sheetView showGridLines="0" zoomScaleNormal="100" workbookViewId="0">
      <pane xSplit="1" ySplit="4" topLeftCell="B5" activePane="bottomRight" state="frozen"/>
      <selection pane="topRight" activeCell="B1" sqref="B1"/>
      <selection pane="bottomLeft" activeCell="A5" sqref="A5"/>
      <selection pane="bottomRight" activeCell="Q49" sqref="Q49"/>
    </sheetView>
  </sheetViews>
  <sheetFormatPr defaultColWidth="9.140625" defaultRowHeight="15" customHeight="1"/>
  <cols>
    <col min="1" max="1" width="27" style="616" customWidth="1"/>
    <col min="2" max="3" width="9.140625" style="601" customWidth="1"/>
    <col min="4" max="4" width="7.85546875" style="602" customWidth="1"/>
    <col min="5" max="6" width="8.42578125" style="601" customWidth="1"/>
    <col min="7" max="7" width="9.42578125" style="601" customWidth="1"/>
    <col min="8" max="8" width="6.42578125" style="601" customWidth="1"/>
    <col min="9" max="9" width="7.42578125" style="601" customWidth="1"/>
    <col min="10" max="10" width="10.28515625" style="601" customWidth="1"/>
    <col min="11" max="11" width="6.42578125" style="601" customWidth="1"/>
    <col min="12" max="12" width="7.7109375" style="601" customWidth="1"/>
    <col min="13" max="13" width="8.85546875" style="601" bestFit="1" customWidth="1"/>
    <col min="14" max="14" width="7" style="601" bestFit="1" customWidth="1"/>
    <col min="15" max="16" width="6.42578125" style="601" bestFit="1" customWidth="1"/>
    <col min="17" max="20" width="9.28515625" style="601" bestFit="1" customWidth="1"/>
    <col min="21" max="256" width="9.140625" style="601"/>
    <col min="257" max="257" width="64.85546875" style="601" customWidth="1"/>
    <col min="258" max="260" width="11.28515625" style="601" customWidth="1"/>
    <col min="261" max="261" width="10.28515625" style="601" customWidth="1"/>
    <col min="262" max="262" width="11.140625" style="601" customWidth="1"/>
    <col min="263" max="263" width="11.7109375" style="601" customWidth="1"/>
    <col min="264" max="264" width="9.140625" style="601" customWidth="1"/>
    <col min="265" max="265" width="9" style="601" customWidth="1"/>
    <col min="266" max="266" width="13.42578125" style="601" customWidth="1"/>
    <col min="267" max="267" width="8.140625" style="601" customWidth="1"/>
    <col min="268" max="269" width="9.42578125" style="601" customWidth="1"/>
    <col min="270" max="512" width="9.140625" style="601"/>
    <col min="513" max="513" width="64.85546875" style="601" customWidth="1"/>
    <col min="514" max="516" width="11.28515625" style="601" customWidth="1"/>
    <col min="517" max="517" width="10.28515625" style="601" customWidth="1"/>
    <col min="518" max="518" width="11.140625" style="601" customWidth="1"/>
    <col min="519" max="519" width="11.7109375" style="601" customWidth="1"/>
    <col min="520" max="520" width="9.140625" style="601" customWidth="1"/>
    <col min="521" max="521" width="9" style="601" customWidth="1"/>
    <col min="522" max="522" width="13.42578125" style="601" customWidth="1"/>
    <col min="523" max="523" width="8.140625" style="601" customWidth="1"/>
    <col min="524" max="525" width="9.42578125" style="601" customWidth="1"/>
    <col min="526" max="768" width="9.140625" style="601"/>
    <col min="769" max="769" width="64.85546875" style="601" customWidth="1"/>
    <col min="770" max="772" width="11.28515625" style="601" customWidth="1"/>
    <col min="773" max="773" width="10.28515625" style="601" customWidth="1"/>
    <col min="774" max="774" width="11.140625" style="601" customWidth="1"/>
    <col min="775" max="775" width="11.7109375" style="601" customWidth="1"/>
    <col min="776" max="776" width="9.140625" style="601" customWidth="1"/>
    <col min="777" max="777" width="9" style="601" customWidth="1"/>
    <col min="778" max="778" width="13.42578125" style="601" customWidth="1"/>
    <col min="779" max="779" width="8.140625" style="601" customWidth="1"/>
    <col min="780" max="781" width="9.42578125" style="601" customWidth="1"/>
    <col min="782" max="1024" width="9.140625" style="601"/>
    <col min="1025" max="1025" width="64.85546875" style="601" customWidth="1"/>
    <col min="1026" max="1028" width="11.28515625" style="601" customWidth="1"/>
    <col min="1029" max="1029" width="10.28515625" style="601" customWidth="1"/>
    <col min="1030" max="1030" width="11.140625" style="601" customWidth="1"/>
    <col min="1031" max="1031" width="11.7109375" style="601" customWidth="1"/>
    <col min="1032" max="1032" width="9.140625" style="601" customWidth="1"/>
    <col min="1033" max="1033" width="9" style="601" customWidth="1"/>
    <col min="1034" max="1034" width="13.42578125" style="601" customWidth="1"/>
    <col min="1035" max="1035" width="8.140625" style="601" customWidth="1"/>
    <col min="1036" max="1037" width="9.42578125" style="601" customWidth="1"/>
    <col min="1038" max="1280" width="9.140625" style="601"/>
    <col min="1281" max="1281" width="64.85546875" style="601" customWidth="1"/>
    <col min="1282" max="1284" width="11.28515625" style="601" customWidth="1"/>
    <col min="1285" max="1285" width="10.28515625" style="601" customWidth="1"/>
    <col min="1286" max="1286" width="11.140625" style="601" customWidth="1"/>
    <col min="1287" max="1287" width="11.7109375" style="601" customWidth="1"/>
    <col min="1288" max="1288" width="9.140625" style="601" customWidth="1"/>
    <col min="1289" max="1289" width="9" style="601" customWidth="1"/>
    <col min="1290" max="1290" width="13.42578125" style="601" customWidth="1"/>
    <col min="1291" max="1291" width="8.140625" style="601" customWidth="1"/>
    <col min="1292" max="1293" width="9.42578125" style="601" customWidth="1"/>
    <col min="1294" max="1536" width="9.140625" style="601"/>
    <col min="1537" max="1537" width="64.85546875" style="601" customWidth="1"/>
    <col min="1538" max="1540" width="11.28515625" style="601" customWidth="1"/>
    <col min="1541" max="1541" width="10.28515625" style="601" customWidth="1"/>
    <col min="1542" max="1542" width="11.140625" style="601" customWidth="1"/>
    <col min="1543" max="1543" width="11.7109375" style="601" customWidth="1"/>
    <col min="1544" max="1544" width="9.140625" style="601" customWidth="1"/>
    <col min="1545" max="1545" width="9" style="601" customWidth="1"/>
    <col min="1546" max="1546" width="13.42578125" style="601" customWidth="1"/>
    <col min="1547" max="1547" width="8.140625" style="601" customWidth="1"/>
    <col min="1548" max="1549" width="9.42578125" style="601" customWidth="1"/>
    <col min="1550" max="1792" width="9.140625" style="601"/>
    <col min="1793" max="1793" width="64.85546875" style="601" customWidth="1"/>
    <col min="1794" max="1796" width="11.28515625" style="601" customWidth="1"/>
    <col min="1797" max="1797" width="10.28515625" style="601" customWidth="1"/>
    <col min="1798" max="1798" width="11.140625" style="601" customWidth="1"/>
    <col min="1799" max="1799" width="11.7109375" style="601" customWidth="1"/>
    <col min="1800" max="1800" width="9.140625" style="601" customWidth="1"/>
    <col min="1801" max="1801" width="9" style="601" customWidth="1"/>
    <col min="1802" max="1802" width="13.42578125" style="601" customWidth="1"/>
    <col min="1803" max="1803" width="8.140625" style="601" customWidth="1"/>
    <col min="1804" max="1805" width="9.42578125" style="601" customWidth="1"/>
    <col min="1806" max="2048" width="9.140625" style="601"/>
    <col min="2049" max="2049" width="64.85546875" style="601" customWidth="1"/>
    <col min="2050" max="2052" width="11.28515625" style="601" customWidth="1"/>
    <col min="2053" max="2053" width="10.28515625" style="601" customWidth="1"/>
    <col min="2054" max="2054" width="11.140625" style="601" customWidth="1"/>
    <col min="2055" max="2055" width="11.7109375" style="601" customWidth="1"/>
    <col min="2056" max="2056" width="9.140625" style="601" customWidth="1"/>
    <col min="2057" max="2057" width="9" style="601" customWidth="1"/>
    <col min="2058" max="2058" width="13.42578125" style="601" customWidth="1"/>
    <col min="2059" max="2059" width="8.140625" style="601" customWidth="1"/>
    <col min="2060" max="2061" width="9.42578125" style="601" customWidth="1"/>
    <col min="2062" max="2304" width="9.140625" style="601"/>
    <col min="2305" max="2305" width="64.85546875" style="601" customWidth="1"/>
    <col min="2306" max="2308" width="11.28515625" style="601" customWidth="1"/>
    <col min="2309" max="2309" width="10.28515625" style="601" customWidth="1"/>
    <col min="2310" max="2310" width="11.140625" style="601" customWidth="1"/>
    <col min="2311" max="2311" width="11.7109375" style="601" customWidth="1"/>
    <col min="2312" max="2312" width="9.140625" style="601" customWidth="1"/>
    <col min="2313" max="2313" width="9" style="601" customWidth="1"/>
    <col min="2314" max="2314" width="13.42578125" style="601" customWidth="1"/>
    <col min="2315" max="2315" width="8.140625" style="601" customWidth="1"/>
    <col min="2316" max="2317" width="9.42578125" style="601" customWidth="1"/>
    <col min="2318" max="2560" width="9.140625" style="601"/>
    <col min="2561" max="2561" width="64.85546875" style="601" customWidth="1"/>
    <col min="2562" max="2564" width="11.28515625" style="601" customWidth="1"/>
    <col min="2565" max="2565" width="10.28515625" style="601" customWidth="1"/>
    <col min="2566" max="2566" width="11.140625" style="601" customWidth="1"/>
    <col min="2567" max="2567" width="11.7109375" style="601" customWidth="1"/>
    <col min="2568" max="2568" width="9.140625" style="601" customWidth="1"/>
    <col min="2569" max="2569" width="9" style="601" customWidth="1"/>
    <col min="2570" max="2570" width="13.42578125" style="601" customWidth="1"/>
    <col min="2571" max="2571" width="8.140625" style="601" customWidth="1"/>
    <col min="2572" max="2573" width="9.42578125" style="601" customWidth="1"/>
    <col min="2574" max="2816" width="9.140625" style="601"/>
    <col min="2817" max="2817" width="64.85546875" style="601" customWidth="1"/>
    <col min="2818" max="2820" width="11.28515625" style="601" customWidth="1"/>
    <col min="2821" max="2821" width="10.28515625" style="601" customWidth="1"/>
    <col min="2822" max="2822" width="11.140625" style="601" customWidth="1"/>
    <col min="2823" max="2823" width="11.7109375" style="601" customWidth="1"/>
    <col min="2824" max="2824" width="9.140625" style="601" customWidth="1"/>
    <col min="2825" max="2825" width="9" style="601" customWidth="1"/>
    <col min="2826" max="2826" width="13.42578125" style="601" customWidth="1"/>
    <col min="2827" max="2827" width="8.140625" style="601" customWidth="1"/>
    <col min="2828" max="2829" width="9.42578125" style="601" customWidth="1"/>
    <col min="2830" max="3072" width="9.140625" style="601"/>
    <col min="3073" max="3073" width="64.85546875" style="601" customWidth="1"/>
    <col min="3074" max="3076" width="11.28515625" style="601" customWidth="1"/>
    <col min="3077" max="3077" width="10.28515625" style="601" customWidth="1"/>
    <col min="3078" max="3078" width="11.140625" style="601" customWidth="1"/>
    <col min="3079" max="3079" width="11.7109375" style="601" customWidth="1"/>
    <col min="3080" max="3080" width="9.140625" style="601" customWidth="1"/>
    <col min="3081" max="3081" width="9" style="601" customWidth="1"/>
    <col min="3082" max="3082" width="13.42578125" style="601" customWidth="1"/>
    <col min="3083" max="3083" width="8.140625" style="601" customWidth="1"/>
    <col min="3084" max="3085" width="9.42578125" style="601" customWidth="1"/>
    <col min="3086" max="3328" width="9.140625" style="601"/>
    <col min="3329" max="3329" width="64.85546875" style="601" customWidth="1"/>
    <col min="3330" max="3332" width="11.28515625" style="601" customWidth="1"/>
    <col min="3333" max="3333" width="10.28515625" style="601" customWidth="1"/>
    <col min="3334" max="3334" width="11.140625" style="601" customWidth="1"/>
    <col min="3335" max="3335" width="11.7109375" style="601" customWidth="1"/>
    <col min="3336" max="3336" width="9.140625" style="601" customWidth="1"/>
    <col min="3337" max="3337" width="9" style="601" customWidth="1"/>
    <col min="3338" max="3338" width="13.42578125" style="601" customWidth="1"/>
    <col min="3339" max="3339" width="8.140625" style="601" customWidth="1"/>
    <col min="3340" max="3341" width="9.42578125" style="601" customWidth="1"/>
    <col min="3342" max="3584" width="9.140625" style="601"/>
    <col min="3585" max="3585" width="64.85546875" style="601" customWidth="1"/>
    <col min="3586" max="3588" width="11.28515625" style="601" customWidth="1"/>
    <col min="3589" max="3589" width="10.28515625" style="601" customWidth="1"/>
    <col min="3590" max="3590" width="11.140625" style="601" customWidth="1"/>
    <col min="3591" max="3591" width="11.7109375" style="601" customWidth="1"/>
    <col min="3592" max="3592" width="9.140625" style="601" customWidth="1"/>
    <col min="3593" max="3593" width="9" style="601" customWidth="1"/>
    <col min="3594" max="3594" width="13.42578125" style="601" customWidth="1"/>
    <col min="3595" max="3595" width="8.140625" style="601" customWidth="1"/>
    <col min="3596" max="3597" width="9.42578125" style="601" customWidth="1"/>
    <col min="3598" max="3840" width="9.140625" style="601"/>
    <col min="3841" max="3841" width="64.85546875" style="601" customWidth="1"/>
    <col min="3842" max="3844" width="11.28515625" style="601" customWidth="1"/>
    <col min="3845" max="3845" width="10.28515625" style="601" customWidth="1"/>
    <col min="3846" max="3846" width="11.140625" style="601" customWidth="1"/>
    <col min="3847" max="3847" width="11.7109375" style="601" customWidth="1"/>
    <col min="3848" max="3848" width="9.140625" style="601" customWidth="1"/>
    <col min="3849" max="3849" width="9" style="601" customWidth="1"/>
    <col min="3850" max="3850" width="13.42578125" style="601" customWidth="1"/>
    <col min="3851" max="3851" width="8.140625" style="601" customWidth="1"/>
    <col min="3852" max="3853" width="9.42578125" style="601" customWidth="1"/>
    <col min="3854" max="4096" width="9.140625" style="601"/>
    <col min="4097" max="4097" width="64.85546875" style="601" customWidth="1"/>
    <col min="4098" max="4100" width="11.28515625" style="601" customWidth="1"/>
    <col min="4101" max="4101" width="10.28515625" style="601" customWidth="1"/>
    <col min="4102" max="4102" width="11.140625" style="601" customWidth="1"/>
    <col min="4103" max="4103" width="11.7109375" style="601" customWidth="1"/>
    <col min="4104" max="4104" width="9.140625" style="601" customWidth="1"/>
    <col min="4105" max="4105" width="9" style="601" customWidth="1"/>
    <col min="4106" max="4106" width="13.42578125" style="601" customWidth="1"/>
    <col min="4107" max="4107" width="8.140625" style="601" customWidth="1"/>
    <col min="4108" max="4109" width="9.42578125" style="601" customWidth="1"/>
    <col min="4110" max="4352" width="9.140625" style="601"/>
    <col min="4353" max="4353" width="64.85546875" style="601" customWidth="1"/>
    <col min="4354" max="4356" width="11.28515625" style="601" customWidth="1"/>
    <col min="4357" max="4357" width="10.28515625" style="601" customWidth="1"/>
    <col min="4358" max="4358" width="11.140625" style="601" customWidth="1"/>
    <col min="4359" max="4359" width="11.7109375" style="601" customWidth="1"/>
    <col min="4360" max="4360" width="9.140625" style="601" customWidth="1"/>
    <col min="4361" max="4361" width="9" style="601" customWidth="1"/>
    <col min="4362" max="4362" width="13.42578125" style="601" customWidth="1"/>
    <col min="4363" max="4363" width="8.140625" style="601" customWidth="1"/>
    <col min="4364" max="4365" width="9.42578125" style="601" customWidth="1"/>
    <col min="4366" max="4608" width="9.140625" style="601"/>
    <col min="4609" max="4609" width="64.85546875" style="601" customWidth="1"/>
    <col min="4610" max="4612" width="11.28515625" style="601" customWidth="1"/>
    <col min="4613" max="4613" width="10.28515625" style="601" customWidth="1"/>
    <col min="4614" max="4614" width="11.140625" style="601" customWidth="1"/>
    <col min="4615" max="4615" width="11.7109375" style="601" customWidth="1"/>
    <col min="4616" max="4616" width="9.140625" style="601" customWidth="1"/>
    <col min="4617" max="4617" width="9" style="601" customWidth="1"/>
    <col min="4618" max="4618" width="13.42578125" style="601" customWidth="1"/>
    <col min="4619" max="4619" width="8.140625" style="601" customWidth="1"/>
    <col min="4620" max="4621" width="9.42578125" style="601" customWidth="1"/>
    <col min="4622" max="4864" width="9.140625" style="601"/>
    <col min="4865" max="4865" width="64.85546875" style="601" customWidth="1"/>
    <col min="4866" max="4868" width="11.28515625" style="601" customWidth="1"/>
    <col min="4869" max="4869" width="10.28515625" style="601" customWidth="1"/>
    <col min="4870" max="4870" width="11.140625" style="601" customWidth="1"/>
    <col min="4871" max="4871" width="11.7109375" style="601" customWidth="1"/>
    <col min="4872" max="4872" width="9.140625" style="601" customWidth="1"/>
    <col min="4873" max="4873" width="9" style="601" customWidth="1"/>
    <col min="4874" max="4874" width="13.42578125" style="601" customWidth="1"/>
    <col min="4875" max="4875" width="8.140625" style="601" customWidth="1"/>
    <col min="4876" max="4877" width="9.42578125" style="601" customWidth="1"/>
    <col min="4878" max="5120" width="9.140625" style="601"/>
    <col min="5121" max="5121" width="64.85546875" style="601" customWidth="1"/>
    <col min="5122" max="5124" width="11.28515625" style="601" customWidth="1"/>
    <col min="5125" max="5125" width="10.28515625" style="601" customWidth="1"/>
    <col min="5126" max="5126" width="11.140625" style="601" customWidth="1"/>
    <col min="5127" max="5127" width="11.7109375" style="601" customWidth="1"/>
    <col min="5128" max="5128" width="9.140625" style="601" customWidth="1"/>
    <col min="5129" max="5129" width="9" style="601" customWidth="1"/>
    <col min="5130" max="5130" width="13.42578125" style="601" customWidth="1"/>
    <col min="5131" max="5131" width="8.140625" style="601" customWidth="1"/>
    <col min="5132" max="5133" width="9.42578125" style="601" customWidth="1"/>
    <col min="5134" max="5376" width="9.140625" style="601"/>
    <col min="5377" max="5377" width="64.85546875" style="601" customWidth="1"/>
    <col min="5378" max="5380" width="11.28515625" style="601" customWidth="1"/>
    <col min="5381" max="5381" width="10.28515625" style="601" customWidth="1"/>
    <col min="5382" max="5382" width="11.140625" style="601" customWidth="1"/>
    <col min="5383" max="5383" width="11.7109375" style="601" customWidth="1"/>
    <col min="5384" max="5384" width="9.140625" style="601" customWidth="1"/>
    <col min="5385" max="5385" width="9" style="601" customWidth="1"/>
    <col min="5386" max="5386" width="13.42578125" style="601" customWidth="1"/>
    <col min="5387" max="5387" width="8.140625" style="601" customWidth="1"/>
    <col min="5388" max="5389" width="9.42578125" style="601" customWidth="1"/>
    <col min="5390" max="5632" width="9.140625" style="601"/>
    <col min="5633" max="5633" width="64.85546875" style="601" customWidth="1"/>
    <col min="5634" max="5636" width="11.28515625" style="601" customWidth="1"/>
    <col min="5637" max="5637" width="10.28515625" style="601" customWidth="1"/>
    <col min="5638" max="5638" width="11.140625" style="601" customWidth="1"/>
    <col min="5639" max="5639" width="11.7109375" style="601" customWidth="1"/>
    <col min="5640" max="5640" width="9.140625" style="601" customWidth="1"/>
    <col min="5641" max="5641" width="9" style="601" customWidth="1"/>
    <col min="5642" max="5642" width="13.42578125" style="601" customWidth="1"/>
    <col min="5643" max="5643" width="8.140625" style="601" customWidth="1"/>
    <col min="5644" max="5645" width="9.42578125" style="601" customWidth="1"/>
    <col min="5646" max="5888" width="9.140625" style="601"/>
    <col min="5889" max="5889" width="64.85546875" style="601" customWidth="1"/>
    <col min="5890" max="5892" width="11.28515625" style="601" customWidth="1"/>
    <col min="5893" max="5893" width="10.28515625" style="601" customWidth="1"/>
    <col min="5894" max="5894" width="11.140625" style="601" customWidth="1"/>
    <col min="5895" max="5895" width="11.7109375" style="601" customWidth="1"/>
    <col min="5896" max="5896" width="9.140625" style="601" customWidth="1"/>
    <col min="5897" max="5897" width="9" style="601" customWidth="1"/>
    <col min="5898" max="5898" width="13.42578125" style="601" customWidth="1"/>
    <col min="5899" max="5899" width="8.140625" style="601" customWidth="1"/>
    <col min="5900" max="5901" width="9.42578125" style="601" customWidth="1"/>
    <col min="5902" max="6144" width="9.140625" style="601"/>
    <col min="6145" max="6145" width="64.85546875" style="601" customWidth="1"/>
    <col min="6146" max="6148" width="11.28515625" style="601" customWidth="1"/>
    <col min="6149" max="6149" width="10.28515625" style="601" customWidth="1"/>
    <col min="6150" max="6150" width="11.140625" style="601" customWidth="1"/>
    <col min="6151" max="6151" width="11.7109375" style="601" customWidth="1"/>
    <col min="6152" max="6152" width="9.140625" style="601" customWidth="1"/>
    <col min="6153" max="6153" width="9" style="601" customWidth="1"/>
    <col min="6154" max="6154" width="13.42578125" style="601" customWidth="1"/>
    <col min="6155" max="6155" width="8.140625" style="601" customWidth="1"/>
    <col min="6156" max="6157" width="9.42578125" style="601" customWidth="1"/>
    <col min="6158" max="6400" width="9.140625" style="601"/>
    <col min="6401" max="6401" width="64.85546875" style="601" customWidth="1"/>
    <col min="6402" max="6404" width="11.28515625" style="601" customWidth="1"/>
    <col min="6405" max="6405" width="10.28515625" style="601" customWidth="1"/>
    <col min="6406" max="6406" width="11.140625" style="601" customWidth="1"/>
    <col min="6407" max="6407" width="11.7109375" style="601" customWidth="1"/>
    <col min="6408" max="6408" width="9.140625" style="601" customWidth="1"/>
    <col min="6409" max="6409" width="9" style="601" customWidth="1"/>
    <col min="6410" max="6410" width="13.42578125" style="601" customWidth="1"/>
    <col min="6411" max="6411" width="8.140625" style="601" customWidth="1"/>
    <col min="6412" max="6413" width="9.42578125" style="601" customWidth="1"/>
    <col min="6414" max="6656" width="9.140625" style="601"/>
    <col min="6657" max="6657" width="64.85546875" style="601" customWidth="1"/>
    <col min="6658" max="6660" width="11.28515625" style="601" customWidth="1"/>
    <col min="6661" max="6661" width="10.28515625" style="601" customWidth="1"/>
    <col min="6662" max="6662" width="11.140625" style="601" customWidth="1"/>
    <col min="6663" max="6663" width="11.7109375" style="601" customWidth="1"/>
    <col min="6664" max="6664" width="9.140625" style="601" customWidth="1"/>
    <col min="6665" max="6665" width="9" style="601" customWidth="1"/>
    <col min="6666" max="6666" width="13.42578125" style="601" customWidth="1"/>
    <col min="6667" max="6667" width="8.140625" style="601" customWidth="1"/>
    <col min="6668" max="6669" width="9.42578125" style="601" customWidth="1"/>
    <col min="6670" max="6912" width="9.140625" style="601"/>
    <col min="6913" max="6913" width="64.85546875" style="601" customWidth="1"/>
    <col min="6914" max="6916" width="11.28515625" style="601" customWidth="1"/>
    <col min="6917" max="6917" width="10.28515625" style="601" customWidth="1"/>
    <col min="6918" max="6918" width="11.140625" style="601" customWidth="1"/>
    <col min="6919" max="6919" width="11.7109375" style="601" customWidth="1"/>
    <col min="6920" max="6920" width="9.140625" style="601" customWidth="1"/>
    <col min="6921" max="6921" width="9" style="601" customWidth="1"/>
    <col min="6922" max="6922" width="13.42578125" style="601" customWidth="1"/>
    <col min="6923" max="6923" width="8.140625" style="601" customWidth="1"/>
    <col min="6924" max="6925" width="9.42578125" style="601" customWidth="1"/>
    <col min="6926" max="7168" width="9.140625" style="601"/>
    <col min="7169" max="7169" width="64.85546875" style="601" customWidth="1"/>
    <col min="7170" max="7172" width="11.28515625" style="601" customWidth="1"/>
    <col min="7173" max="7173" width="10.28515625" style="601" customWidth="1"/>
    <col min="7174" max="7174" width="11.140625" style="601" customWidth="1"/>
    <col min="7175" max="7175" width="11.7109375" style="601" customWidth="1"/>
    <col min="7176" max="7176" width="9.140625" style="601" customWidth="1"/>
    <col min="7177" max="7177" width="9" style="601" customWidth="1"/>
    <col min="7178" max="7178" width="13.42578125" style="601" customWidth="1"/>
    <col min="7179" max="7179" width="8.140625" style="601" customWidth="1"/>
    <col min="7180" max="7181" width="9.42578125" style="601" customWidth="1"/>
    <col min="7182" max="7424" width="9.140625" style="601"/>
    <col min="7425" max="7425" width="64.85546875" style="601" customWidth="1"/>
    <col min="7426" max="7428" width="11.28515625" style="601" customWidth="1"/>
    <col min="7429" max="7429" width="10.28515625" style="601" customWidth="1"/>
    <col min="7430" max="7430" width="11.140625" style="601" customWidth="1"/>
    <col min="7431" max="7431" width="11.7109375" style="601" customWidth="1"/>
    <col min="7432" max="7432" width="9.140625" style="601" customWidth="1"/>
    <col min="7433" max="7433" width="9" style="601" customWidth="1"/>
    <col min="7434" max="7434" width="13.42578125" style="601" customWidth="1"/>
    <col min="7435" max="7435" width="8.140625" style="601" customWidth="1"/>
    <col min="7436" max="7437" width="9.42578125" style="601" customWidth="1"/>
    <col min="7438" max="7680" width="9.140625" style="601"/>
    <col min="7681" max="7681" width="64.85546875" style="601" customWidth="1"/>
    <col min="7682" max="7684" width="11.28515625" style="601" customWidth="1"/>
    <col min="7685" max="7685" width="10.28515625" style="601" customWidth="1"/>
    <col min="7686" max="7686" width="11.140625" style="601" customWidth="1"/>
    <col min="7687" max="7687" width="11.7109375" style="601" customWidth="1"/>
    <col min="7688" max="7688" width="9.140625" style="601" customWidth="1"/>
    <col min="7689" max="7689" width="9" style="601" customWidth="1"/>
    <col min="7690" max="7690" width="13.42578125" style="601" customWidth="1"/>
    <col min="7691" max="7691" width="8.140625" style="601" customWidth="1"/>
    <col min="7692" max="7693" width="9.42578125" style="601" customWidth="1"/>
    <col min="7694" max="7936" width="9.140625" style="601"/>
    <col min="7937" max="7937" width="64.85546875" style="601" customWidth="1"/>
    <col min="7938" max="7940" width="11.28515625" style="601" customWidth="1"/>
    <col min="7941" max="7941" width="10.28515625" style="601" customWidth="1"/>
    <col min="7942" max="7942" width="11.140625" style="601" customWidth="1"/>
    <col min="7943" max="7943" width="11.7109375" style="601" customWidth="1"/>
    <col min="7944" max="7944" width="9.140625" style="601" customWidth="1"/>
    <col min="7945" max="7945" width="9" style="601" customWidth="1"/>
    <col min="7946" max="7946" width="13.42578125" style="601" customWidth="1"/>
    <col min="7947" max="7947" width="8.140625" style="601" customWidth="1"/>
    <col min="7948" max="7949" width="9.42578125" style="601" customWidth="1"/>
    <col min="7950" max="8192" width="9.140625" style="601"/>
    <col min="8193" max="8193" width="64.85546875" style="601" customWidth="1"/>
    <col min="8194" max="8196" width="11.28515625" style="601" customWidth="1"/>
    <col min="8197" max="8197" width="10.28515625" style="601" customWidth="1"/>
    <col min="8198" max="8198" width="11.140625" style="601" customWidth="1"/>
    <col min="8199" max="8199" width="11.7109375" style="601" customWidth="1"/>
    <col min="8200" max="8200" width="9.140625" style="601" customWidth="1"/>
    <col min="8201" max="8201" width="9" style="601" customWidth="1"/>
    <col min="8202" max="8202" width="13.42578125" style="601" customWidth="1"/>
    <col min="8203" max="8203" width="8.140625" style="601" customWidth="1"/>
    <col min="8204" max="8205" width="9.42578125" style="601" customWidth="1"/>
    <col min="8206" max="8448" width="9.140625" style="601"/>
    <col min="8449" max="8449" width="64.85546875" style="601" customWidth="1"/>
    <col min="8450" max="8452" width="11.28515625" style="601" customWidth="1"/>
    <col min="8453" max="8453" width="10.28515625" style="601" customWidth="1"/>
    <col min="8454" max="8454" width="11.140625" style="601" customWidth="1"/>
    <col min="8455" max="8455" width="11.7109375" style="601" customWidth="1"/>
    <col min="8456" max="8456" width="9.140625" style="601" customWidth="1"/>
    <col min="8457" max="8457" width="9" style="601" customWidth="1"/>
    <col min="8458" max="8458" width="13.42578125" style="601" customWidth="1"/>
    <col min="8459" max="8459" width="8.140625" style="601" customWidth="1"/>
    <col min="8460" max="8461" width="9.42578125" style="601" customWidth="1"/>
    <col min="8462" max="8704" width="9.140625" style="601"/>
    <col min="8705" max="8705" width="64.85546875" style="601" customWidth="1"/>
    <col min="8706" max="8708" width="11.28515625" style="601" customWidth="1"/>
    <col min="8709" max="8709" width="10.28515625" style="601" customWidth="1"/>
    <col min="8710" max="8710" width="11.140625" style="601" customWidth="1"/>
    <col min="8711" max="8711" width="11.7109375" style="601" customWidth="1"/>
    <col min="8712" max="8712" width="9.140625" style="601" customWidth="1"/>
    <col min="8713" max="8713" width="9" style="601" customWidth="1"/>
    <col min="8714" max="8714" width="13.42578125" style="601" customWidth="1"/>
    <col min="8715" max="8715" width="8.140625" style="601" customWidth="1"/>
    <col min="8716" max="8717" width="9.42578125" style="601" customWidth="1"/>
    <col min="8718" max="8960" width="9.140625" style="601"/>
    <col min="8961" max="8961" width="64.85546875" style="601" customWidth="1"/>
    <col min="8962" max="8964" width="11.28515625" style="601" customWidth="1"/>
    <col min="8965" max="8965" width="10.28515625" style="601" customWidth="1"/>
    <col min="8966" max="8966" width="11.140625" style="601" customWidth="1"/>
    <col min="8967" max="8967" width="11.7109375" style="601" customWidth="1"/>
    <col min="8968" max="8968" width="9.140625" style="601" customWidth="1"/>
    <col min="8969" max="8969" width="9" style="601" customWidth="1"/>
    <col min="8970" max="8970" width="13.42578125" style="601" customWidth="1"/>
    <col min="8971" max="8971" width="8.140625" style="601" customWidth="1"/>
    <col min="8972" max="8973" width="9.42578125" style="601" customWidth="1"/>
    <col min="8974" max="9216" width="9.140625" style="601"/>
    <col min="9217" max="9217" width="64.85546875" style="601" customWidth="1"/>
    <col min="9218" max="9220" width="11.28515625" style="601" customWidth="1"/>
    <col min="9221" max="9221" width="10.28515625" style="601" customWidth="1"/>
    <col min="9222" max="9222" width="11.140625" style="601" customWidth="1"/>
    <col min="9223" max="9223" width="11.7109375" style="601" customWidth="1"/>
    <col min="9224" max="9224" width="9.140625" style="601" customWidth="1"/>
    <col min="9225" max="9225" width="9" style="601" customWidth="1"/>
    <col min="9226" max="9226" width="13.42578125" style="601" customWidth="1"/>
    <col min="9227" max="9227" width="8.140625" style="601" customWidth="1"/>
    <col min="9228" max="9229" width="9.42578125" style="601" customWidth="1"/>
    <col min="9230" max="9472" width="9.140625" style="601"/>
    <col min="9473" max="9473" width="64.85546875" style="601" customWidth="1"/>
    <col min="9474" max="9476" width="11.28515625" style="601" customWidth="1"/>
    <col min="9477" max="9477" width="10.28515625" style="601" customWidth="1"/>
    <col min="9478" max="9478" width="11.140625" style="601" customWidth="1"/>
    <col min="9479" max="9479" width="11.7109375" style="601" customWidth="1"/>
    <col min="9480" max="9480" width="9.140625" style="601" customWidth="1"/>
    <col min="9481" max="9481" width="9" style="601" customWidth="1"/>
    <col min="9482" max="9482" width="13.42578125" style="601" customWidth="1"/>
    <col min="9483" max="9483" width="8.140625" style="601" customWidth="1"/>
    <col min="9484" max="9485" width="9.42578125" style="601" customWidth="1"/>
    <col min="9486" max="9728" width="9.140625" style="601"/>
    <col min="9729" max="9729" width="64.85546875" style="601" customWidth="1"/>
    <col min="9730" max="9732" width="11.28515625" style="601" customWidth="1"/>
    <col min="9733" max="9733" width="10.28515625" style="601" customWidth="1"/>
    <col min="9734" max="9734" width="11.140625" style="601" customWidth="1"/>
    <col min="9735" max="9735" width="11.7109375" style="601" customWidth="1"/>
    <col min="9736" max="9736" width="9.140625" style="601" customWidth="1"/>
    <col min="9737" max="9737" width="9" style="601" customWidth="1"/>
    <col min="9738" max="9738" width="13.42578125" style="601" customWidth="1"/>
    <col min="9739" max="9739" width="8.140625" style="601" customWidth="1"/>
    <col min="9740" max="9741" width="9.42578125" style="601" customWidth="1"/>
    <col min="9742" max="9984" width="9.140625" style="601"/>
    <col min="9985" max="9985" width="64.85546875" style="601" customWidth="1"/>
    <col min="9986" max="9988" width="11.28515625" style="601" customWidth="1"/>
    <col min="9989" max="9989" width="10.28515625" style="601" customWidth="1"/>
    <col min="9990" max="9990" width="11.140625" style="601" customWidth="1"/>
    <col min="9991" max="9991" width="11.7109375" style="601" customWidth="1"/>
    <col min="9992" max="9992" width="9.140625" style="601" customWidth="1"/>
    <col min="9993" max="9993" width="9" style="601" customWidth="1"/>
    <col min="9994" max="9994" width="13.42578125" style="601" customWidth="1"/>
    <col min="9995" max="9995" width="8.140625" style="601" customWidth="1"/>
    <col min="9996" max="9997" width="9.42578125" style="601" customWidth="1"/>
    <col min="9998" max="10240" width="9.140625" style="601"/>
    <col min="10241" max="10241" width="64.85546875" style="601" customWidth="1"/>
    <col min="10242" max="10244" width="11.28515625" style="601" customWidth="1"/>
    <col min="10245" max="10245" width="10.28515625" style="601" customWidth="1"/>
    <col min="10246" max="10246" width="11.140625" style="601" customWidth="1"/>
    <col min="10247" max="10247" width="11.7109375" style="601" customWidth="1"/>
    <col min="10248" max="10248" width="9.140625" style="601" customWidth="1"/>
    <col min="10249" max="10249" width="9" style="601" customWidth="1"/>
    <col min="10250" max="10250" width="13.42578125" style="601" customWidth="1"/>
    <col min="10251" max="10251" width="8.140625" style="601" customWidth="1"/>
    <col min="10252" max="10253" width="9.42578125" style="601" customWidth="1"/>
    <col min="10254" max="10496" width="9.140625" style="601"/>
    <col min="10497" max="10497" width="64.85546875" style="601" customWidth="1"/>
    <col min="10498" max="10500" width="11.28515625" style="601" customWidth="1"/>
    <col min="10501" max="10501" width="10.28515625" style="601" customWidth="1"/>
    <col min="10502" max="10502" width="11.140625" style="601" customWidth="1"/>
    <col min="10503" max="10503" width="11.7109375" style="601" customWidth="1"/>
    <col min="10504" max="10504" width="9.140625" style="601" customWidth="1"/>
    <col min="10505" max="10505" width="9" style="601" customWidth="1"/>
    <col min="10506" max="10506" width="13.42578125" style="601" customWidth="1"/>
    <col min="10507" max="10507" width="8.140625" style="601" customWidth="1"/>
    <col min="10508" max="10509" width="9.42578125" style="601" customWidth="1"/>
    <col min="10510" max="10752" width="9.140625" style="601"/>
    <col min="10753" max="10753" width="64.85546875" style="601" customWidth="1"/>
    <col min="10754" max="10756" width="11.28515625" style="601" customWidth="1"/>
    <col min="10757" max="10757" width="10.28515625" style="601" customWidth="1"/>
    <col min="10758" max="10758" width="11.140625" style="601" customWidth="1"/>
    <col min="10759" max="10759" width="11.7109375" style="601" customWidth="1"/>
    <col min="10760" max="10760" width="9.140625" style="601" customWidth="1"/>
    <col min="10761" max="10761" width="9" style="601" customWidth="1"/>
    <col min="10762" max="10762" width="13.42578125" style="601" customWidth="1"/>
    <col min="10763" max="10763" width="8.140625" style="601" customWidth="1"/>
    <col min="10764" max="10765" width="9.42578125" style="601" customWidth="1"/>
    <col min="10766" max="11008" width="9.140625" style="601"/>
    <col min="11009" max="11009" width="64.85546875" style="601" customWidth="1"/>
    <col min="11010" max="11012" width="11.28515625" style="601" customWidth="1"/>
    <col min="11013" max="11013" width="10.28515625" style="601" customWidth="1"/>
    <col min="11014" max="11014" width="11.140625" style="601" customWidth="1"/>
    <col min="11015" max="11015" width="11.7109375" style="601" customWidth="1"/>
    <col min="11016" max="11016" width="9.140625" style="601" customWidth="1"/>
    <col min="11017" max="11017" width="9" style="601" customWidth="1"/>
    <col min="11018" max="11018" width="13.42578125" style="601" customWidth="1"/>
    <col min="11019" max="11019" width="8.140625" style="601" customWidth="1"/>
    <col min="11020" max="11021" width="9.42578125" style="601" customWidth="1"/>
    <col min="11022" max="11264" width="9.140625" style="601"/>
    <col min="11265" max="11265" width="64.85546875" style="601" customWidth="1"/>
    <col min="11266" max="11268" width="11.28515625" style="601" customWidth="1"/>
    <col min="11269" max="11269" width="10.28515625" style="601" customWidth="1"/>
    <col min="11270" max="11270" width="11.140625" style="601" customWidth="1"/>
    <col min="11271" max="11271" width="11.7109375" style="601" customWidth="1"/>
    <col min="11272" max="11272" width="9.140625" style="601" customWidth="1"/>
    <col min="11273" max="11273" width="9" style="601" customWidth="1"/>
    <col min="11274" max="11274" width="13.42578125" style="601" customWidth="1"/>
    <col min="11275" max="11275" width="8.140625" style="601" customWidth="1"/>
    <col min="11276" max="11277" width="9.42578125" style="601" customWidth="1"/>
    <col min="11278" max="11520" width="9.140625" style="601"/>
    <col min="11521" max="11521" width="64.85546875" style="601" customWidth="1"/>
    <col min="11522" max="11524" width="11.28515625" style="601" customWidth="1"/>
    <col min="11525" max="11525" width="10.28515625" style="601" customWidth="1"/>
    <col min="11526" max="11526" width="11.140625" style="601" customWidth="1"/>
    <col min="11527" max="11527" width="11.7109375" style="601" customWidth="1"/>
    <col min="11528" max="11528" width="9.140625" style="601" customWidth="1"/>
    <col min="11529" max="11529" width="9" style="601" customWidth="1"/>
    <col min="11530" max="11530" width="13.42578125" style="601" customWidth="1"/>
    <col min="11531" max="11531" width="8.140625" style="601" customWidth="1"/>
    <col min="11532" max="11533" width="9.42578125" style="601" customWidth="1"/>
    <col min="11534" max="11776" width="9.140625" style="601"/>
    <col min="11777" max="11777" width="64.85546875" style="601" customWidth="1"/>
    <col min="11778" max="11780" width="11.28515625" style="601" customWidth="1"/>
    <col min="11781" max="11781" width="10.28515625" style="601" customWidth="1"/>
    <col min="11782" max="11782" width="11.140625" style="601" customWidth="1"/>
    <col min="11783" max="11783" width="11.7109375" style="601" customWidth="1"/>
    <col min="11784" max="11784" width="9.140625" style="601" customWidth="1"/>
    <col min="11785" max="11785" width="9" style="601" customWidth="1"/>
    <col min="11786" max="11786" width="13.42578125" style="601" customWidth="1"/>
    <col min="11787" max="11787" width="8.140625" style="601" customWidth="1"/>
    <col min="11788" max="11789" width="9.42578125" style="601" customWidth="1"/>
    <col min="11790" max="12032" width="9.140625" style="601"/>
    <col min="12033" max="12033" width="64.85546875" style="601" customWidth="1"/>
    <col min="12034" max="12036" width="11.28515625" style="601" customWidth="1"/>
    <col min="12037" max="12037" width="10.28515625" style="601" customWidth="1"/>
    <col min="12038" max="12038" width="11.140625" style="601" customWidth="1"/>
    <col min="12039" max="12039" width="11.7109375" style="601" customWidth="1"/>
    <col min="12040" max="12040" width="9.140625" style="601" customWidth="1"/>
    <col min="12041" max="12041" width="9" style="601" customWidth="1"/>
    <col min="12042" max="12042" width="13.42578125" style="601" customWidth="1"/>
    <col min="12043" max="12043" width="8.140625" style="601" customWidth="1"/>
    <col min="12044" max="12045" width="9.42578125" style="601" customWidth="1"/>
    <col min="12046" max="12288" width="9.140625" style="601"/>
    <col min="12289" max="12289" width="64.85546875" style="601" customWidth="1"/>
    <col min="12290" max="12292" width="11.28515625" style="601" customWidth="1"/>
    <col min="12293" max="12293" width="10.28515625" style="601" customWidth="1"/>
    <col min="12294" max="12294" width="11.140625" style="601" customWidth="1"/>
    <col min="12295" max="12295" width="11.7109375" style="601" customWidth="1"/>
    <col min="12296" max="12296" width="9.140625" style="601" customWidth="1"/>
    <col min="12297" max="12297" width="9" style="601" customWidth="1"/>
    <col min="12298" max="12298" width="13.42578125" style="601" customWidth="1"/>
    <col min="12299" max="12299" width="8.140625" style="601" customWidth="1"/>
    <col min="12300" max="12301" width="9.42578125" style="601" customWidth="1"/>
    <col min="12302" max="12544" width="9.140625" style="601"/>
    <col min="12545" max="12545" width="64.85546875" style="601" customWidth="1"/>
    <col min="12546" max="12548" width="11.28515625" style="601" customWidth="1"/>
    <col min="12549" max="12549" width="10.28515625" style="601" customWidth="1"/>
    <col min="12550" max="12550" width="11.140625" style="601" customWidth="1"/>
    <col min="12551" max="12551" width="11.7109375" style="601" customWidth="1"/>
    <col min="12552" max="12552" width="9.140625" style="601" customWidth="1"/>
    <col min="12553" max="12553" width="9" style="601" customWidth="1"/>
    <col min="12554" max="12554" width="13.42578125" style="601" customWidth="1"/>
    <col min="12555" max="12555" width="8.140625" style="601" customWidth="1"/>
    <col min="12556" max="12557" width="9.42578125" style="601" customWidth="1"/>
    <col min="12558" max="12800" width="9.140625" style="601"/>
    <col min="12801" max="12801" width="64.85546875" style="601" customWidth="1"/>
    <col min="12802" max="12804" width="11.28515625" style="601" customWidth="1"/>
    <col min="12805" max="12805" width="10.28515625" style="601" customWidth="1"/>
    <col min="12806" max="12806" width="11.140625" style="601" customWidth="1"/>
    <col min="12807" max="12807" width="11.7109375" style="601" customWidth="1"/>
    <col min="12808" max="12808" width="9.140625" style="601" customWidth="1"/>
    <col min="12809" max="12809" width="9" style="601" customWidth="1"/>
    <col min="12810" max="12810" width="13.42578125" style="601" customWidth="1"/>
    <col min="12811" max="12811" width="8.140625" style="601" customWidth="1"/>
    <col min="12812" max="12813" width="9.42578125" style="601" customWidth="1"/>
    <col min="12814" max="13056" width="9.140625" style="601"/>
    <col min="13057" max="13057" width="64.85546875" style="601" customWidth="1"/>
    <col min="13058" max="13060" width="11.28515625" style="601" customWidth="1"/>
    <col min="13061" max="13061" width="10.28515625" style="601" customWidth="1"/>
    <col min="13062" max="13062" width="11.140625" style="601" customWidth="1"/>
    <col min="13063" max="13063" width="11.7109375" style="601" customWidth="1"/>
    <col min="13064" max="13064" width="9.140625" style="601" customWidth="1"/>
    <col min="13065" max="13065" width="9" style="601" customWidth="1"/>
    <col min="13066" max="13066" width="13.42578125" style="601" customWidth="1"/>
    <col min="13067" max="13067" width="8.140625" style="601" customWidth="1"/>
    <col min="13068" max="13069" width="9.42578125" style="601" customWidth="1"/>
    <col min="13070" max="13312" width="9.140625" style="601"/>
    <col min="13313" max="13313" width="64.85546875" style="601" customWidth="1"/>
    <col min="13314" max="13316" width="11.28515625" style="601" customWidth="1"/>
    <col min="13317" max="13317" width="10.28515625" style="601" customWidth="1"/>
    <col min="13318" max="13318" width="11.140625" style="601" customWidth="1"/>
    <col min="13319" max="13319" width="11.7109375" style="601" customWidth="1"/>
    <col min="13320" max="13320" width="9.140625" style="601" customWidth="1"/>
    <col min="13321" max="13321" width="9" style="601" customWidth="1"/>
    <col min="13322" max="13322" width="13.42578125" style="601" customWidth="1"/>
    <col min="13323" max="13323" width="8.140625" style="601" customWidth="1"/>
    <col min="13324" max="13325" width="9.42578125" style="601" customWidth="1"/>
    <col min="13326" max="13568" width="9.140625" style="601"/>
    <col min="13569" max="13569" width="64.85546875" style="601" customWidth="1"/>
    <col min="13570" max="13572" width="11.28515625" style="601" customWidth="1"/>
    <col min="13573" max="13573" width="10.28515625" style="601" customWidth="1"/>
    <col min="13574" max="13574" width="11.140625" style="601" customWidth="1"/>
    <col min="13575" max="13575" width="11.7109375" style="601" customWidth="1"/>
    <col min="13576" max="13576" width="9.140625" style="601" customWidth="1"/>
    <col min="13577" max="13577" width="9" style="601" customWidth="1"/>
    <col min="13578" max="13578" width="13.42578125" style="601" customWidth="1"/>
    <col min="13579" max="13579" width="8.140625" style="601" customWidth="1"/>
    <col min="13580" max="13581" width="9.42578125" style="601" customWidth="1"/>
    <col min="13582" max="13824" width="9.140625" style="601"/>
    <col min="13825" max="13825" width="64.85546875" style="601" customWidth="1"/>
    <col min="13826" max="13828" width="11.28515625" style="601" customWidth="1"/>
    <col min="13829" max="13829" width="10.28515625" style="601" customWidth="1"/>
    <col min="13830" max="13830" width="11.140625" style="601" customWidth="1"/>
    <col min="13831" max="13831" width="11.7109375" style="601" customWidth="1"/>
    <col min="13832" max="13832" width="9.140625" style="601" customWidth="1"/>
    <col min="13833" max="13833" width="9" style="601" customWidth="1"/>
    <col min="13834" max="13834" width="13.42578125" style="601" customWidth="1"/>
    <col min="13835" max="13835" width="8.140625" style="601" customWidth="1"/>
    <col min="13836" max="13837" width="9.42578125" style="601" customWidth="1"/>
    <col min="13838" max="14080" width="9.140625" style="601"/>
    <col min="14081" max="14081" width="64.85546875" style="601" customWidth="1"/>
    <col min="14082" max="14084" width="11.28515625" style="601" customWidth="1"/>
    <col min="14085" max="14085" width="10.28515625" style="601" customWidth="1"/>
    <col min="14086" max="14086" width="11.140625" style="601" customWidth="1"/>
    <col min="14087" max="14087" width="11.7109375" style="601" customWidth="1"/>
    <col min="14088" max="14088" width="9.140625" style="601" customWidth="1"/>
    <col min="14089" max="14089" width="9" style="601" customWidth="1"/>
    <col min="14090" max="14090" width="13.42578125" style="601" customWidth="1"/>
    <col min="14091" max="14091" width="8.140625" style="601" customWidth="1"/>
    <col min="14092" max="14093" width="9.42578125" style="601" customWidth="1"/>
    <col min="14094" max="14336" width="9.140625" style="601"/>
    <col min="14337" max="14337" width="64.85546875" style="601" customWidth="1"/>
    <col min="14338" max="14340" width="11.28515625" style="601" customWidth="1"/>
    <col min="14341" max="14341" width="10.28515625" style="601" customWidth="1"/>
    <col min="14342" max="14342" width="11.140625" style="601" customWidth="1"/>
    <col min="14343" max="14343" width="11.7109375" style="601" customWidth="1"/>
    <col min="14344" max="14344" width="9.140625" style="601" customWidth="1"/>
    <col min="14345" max="14345" width="9" style="601" customWidth="1"/>
    <col min="14346" max="14346" width="13.42578125" style="601" customWidth="1"/>
    <col min="14347" max="14347" width="8.140625" style="601" customWidth="1"/>
    <col min="14348" max="14349" width="9.42578125" style="601" customWidth="1"/>
    <col min="14350" max="14592" width="9.140625" style="601"/>
    <col min="14593" max="14593" width="64.85546875" style="601" customWidth="1"/>
    <col min="14594" max="14596" width="11.28515625" style="601" customWidth="1"/>
    <col min="14597" max="14597" width="10.28515625" style="601" customWidth="1"/>
    <col min="14598" max="14598" width="11.140625" style="601" customWidth="1"/>
    <col min="14599" max="14599" width="11.7109375" style="601" customWidth="1"/>
    <col min="14600" max="14600" width="9.140625" style="601" customWidth="1"/>
    <col min="14601" max="14601" width="9" style="601" customWidth="1"/>
    <col min="14602" max="14602" width="13.42578125" style="601" customWidth="1"/>
    <col min="14603" max="14603" width="8.140625" style="601" customWidth="1"/>
    <col min="14604" max="14605" width="9.42578125" style="601" customWidth="1"/>
    <col min="14606" max="14848" width="9.140625" style="601"/>
    <col min="14849" max="14849" width="64.85546875" style="601" customWidth="1"/>
    <col min="14850" max="14852" width="11.28515625" style="601" customWidth="1"/>
    <col min="14853" max="14853" width="10.28515625" style="601" customWidth="1"/>
    <col min="14854" max="14854" width="11.140625" style="601" customWidth="1"/>
    <col min="14855" max="14855" width="11.7109375" style="601" customWidth="1"/>
    <col min="14856" max="14856" width="9.140625" style="601" customWidth="1"/>
    <col min="14857" max="14857" width="9" style="601" customWidth="1"/>
    <col min="14858" max="14858" width="13.42578125" style="601" customWidth="1"/>
    <col min="14859" max="14859" width="8.140625" style="601" customWidth="1"/>
    <col min="14860" max="14861" width="9.42578125" style="601" customWidth="1"/>
    <col min="14862" max="15104" width="9.140625" style="601"/>
    <col min="15105" max="15105" width="64.85546875" style="601" customWidth="1"/>
    <col min="15106" max="15108" width="11.28515625" style="601" customWidth="1"/>
    <col min="15109" max="15109" width="10.28515625" style="601" customWidth="1"/>
    <col min="15110" max="15110" width="11.140625" style="601" customWidth="1"/>
    <col min="15111" max="15111" width="11.7109375" style="601" customWidth="1"/>
    <col min="15112" max="15112" width="9.140625" style="601" customWidth="1"/>
    <col min="15113" max="15113" width="9" style="601" customWidth="1"/>
    <col min="15114" max="15114" width="13.42578125" style="601" customWidth="1"/>
    <col min="15115" max="15115" width="8.140625" style="601" customWidth="1"/>
    <col min="15116" max="15117" width="9.42578125" style="601" customWidth="1"/>
    <col min="15118" max="15360" width="9.140625" style="601"/>
    <col min="15361" max="15361" width="64.85546875" style="601" customWidth="1"/>
    <col min="15362" max="15364" width="11.28515625" style="601" customWidth="1"/>
    <col min="15365" max="15365" width="10.28515625" style="601" customWidth="1"/>
    <col min="15366" max="15366" width="11.140625" style="601" customWidth="1"/>
    <col min="15367" max="15367" width="11.7109375" style="601" customWidth="1"/>
    <col min="15368" max="15368" width="9.140625" style="601" customWidth="1"/>
    <col min="15369" max="15369" width="9" style="601" customWidth="1"/>
    <col min="15370" max="15370" width="13.42578125" style="601" customWidth="1"/>
    <col min="15371" max="15371" width="8.140625" style="601" customWidth="1"/>
    <col min="15372" max="15373" width="9.42578125" style="601" customWidth="1"/>
    <col min="15374" max="15616" width="9.140625" style="601"/>
    <col min="15617" max="15617" width="64.85546875" style="601" customWidth="1"/>
    <col min="15618" max="15620" width="11.28515625" style="601" customWidth="1"/>
    <col min="15621" max="15621" width="10.28515625" style="601" customWidth="1"/>
    <col min="15622" max="15622" width="11.140625" style="601" customWidth="1"/>
    <col min="15623" max="15623" width="11.7109375" style="601" customWidth="1"/>
    <col min="15624" max="15624" width="9.140625" style="601" customWidth="1"/>
    <col min="15625" max="15625" width="9" style="601" customWidth="1"/>
    <col min="15626" max="15626" width="13.42578125" style="601" customWidth="1"/>
    <col min="15627" max="15627" width="8.140625" style="601" customWidth="1"/>
    <col min="15628" max="15629" width="9.42578125" style="601" customWidth="1"/>
    <col min="15630" max="15872" width="9.140625" style="601"/>
    <col min="15873" max="15873" width="64.85546875" style="601" customWidth="1"/>
    <col min="15874" max="15876" width="11.28515625" style="601" customWidth="1"/>
    <col min="15877" max="15877" width="10.28515625" style="601" customWidth="1"/>
    <col min="15878" max="15878" width="11.140625" style="601" customWidth="1"/>
    <col min="15879" max="15879" width="11.7109375" style="601" customWidth="1"/>
    <col min="15880" max="15880" width="9.140625" style="601" customWidth="1"/>
    <col min="15881" max="15881" width="9" style="601" customWidth="1"/>
    <col min="15882" max="15882" width="13.42578125" style="601" customWidth="1"/>
    <col min="15883" max="15883" width="8.140625" style="601" customWidth="1"/>
    <col min="15884" max="15885" width="9.42578125" style="601" customWidth="1"/>
    <col min="15886" max="16128" width="9.140625" style="601"/>
    <col min="16129" max="16129" width="64.85546875" style="601" customWidth="1"/>
    <col min="16130" max="16132" width="11.28515625" style="601" customWidth="1"/>
    <col min="16133" max="16133" width="10.28515625" style="601" customWidth="1"/>
    <col min="16134" max="16134" width="11.140625" style="601" customWidth="1"/>
    <col min="16135" max="16135" width="11.7109375" style="601" customWidth="1"/>
    <col min="16136" max="16136" width="9.140625" style="601" customWidth="1"/>
    <col min="16137" max="16137" width="9" style="601" customWidth="1"/>
    <col min="16138" max="16138" width="13.42578125" style="601" customWidth="1"/>
    <col min="16139" max="16139" width="8.140625" style="601" customWidth="1"/>
    <col min="16140" max="16141" width="9.42578125" style="601" customWidth="1"/>
    <col min="16142" max="16384" width="9.140625" style="601"/>
  </cols>
  <sheetData>
    <row r="1" spans="1:20" ht="12.75">
      <c r="A1" s="187" t="s">
        <v>306</v>
      </c>
      <c r="R1" s="642" t="s">
        <v>304</v>
      </c>
    </row>
    <row r="2" spans="1:20" ht="11.25">
      <c r="A2" s="603" t="s">
        <v>342</v>
      </c>
      <c r="B2" s="603"/>
      <c r="C2" s="603"/>
      <c r="D2" s="604"/>
      <c r="E2" s="603"/>
      <c r="F2" s="603"/>
      <c r="G2" s="603"/>
      <c r="H2" s="603"/>
      <c r="I2" s="603"/>
      <c r="J2" s="603"/>
      <c r="K2" s="603"/>
      <c r="L2" s="603"/>
      <c r="M2" s="603"/>
    </row>
    <row r="3" spans="1:20" ht="11.25">
      <c r="A3" s="605"/>
      <c r="B3" s="605"/>
      <c r="C3" s="605"/>
      <c r="D3" s="606"/>
      <c r="E3" s="605"/>
      <c r="F3" s="605"/>
      <c r="G3" s="605"/>
      <c r="H3" s="605"/>
      <c r="I3" s="605"/>
      <c r="J3" s="605"/>
      <c r="K3" s="605"/>
      <c r="L3" s="605"/>
      <c r="M3" s="605"/>
    </row>
    <row r="4" spans="1:20" s="624" customFormat="1" ht="45">
      <c r="A4" s="621" t="s">
        <v>255</v>
      </c>
      <c r="B4" s="622" t="s">
        <v>0</v>
      </c>
      <c r="C4" s="622" t="s">
        <v>1</v>
      </c>
      <c r="D4" s="622" t="s">
        <v>224</v>
      </c>
      <c r="E4" s="622" t="s">
        <v>2</v>
      </c>
      <c r="F4" s="622" t="s">
        <v>3</v>
      </c>
      <c r="G4" s="622" t="s">
        <v>4</v>
      </c>
      <c r="H4" s="622" t="s">
        <v>5</v>
      </c>
      <c r="I4" s="622" t="s">
        <v>6</v>
      </c>
      <c r="J4" s="622" t="s">
        <v>7</v>
      </c>
      <c r="K4" s="622" t="s">
        <v>8</v>
      </c>
      <c r="L4" s="622" t="s">
        <v>9</v>
      </c>
      <c r="M4" s="623" t="s">
        <v>10</v>
      </c>
      <c r="N4" s="625" t="s">
        <v>86</v>
      </c>
      <c r="O4" s="625" t="s">
        <v>87</v>
      </c>
      <c r="P4" s="625" t="s">
        <v>88</v>
      </c>
      <c r="Q4" s="626" t="s">
        <v>89</v>
      </c>
      <c r="R4" s="625" t="s">
        <v>90</v>
      </c>
      <c r="S4" s="627" t="s">
        <v>317</v>
      </c>
      <c r="T4" s="627" t="s">
        <v>318</v>
      </c>
    </row>
    <row r="5" spans="1:20" s="607" customFormat="1" ht="11.25">
      <c r="A5" s="608" t="s">
        <v>62</v>
      </c>
      <c r="B5" s="643">
        <v>183</v>
      </c>
      <c r="C5" s="643">
        <v>0</v>
      </c>
      <c r="D5" s="555">
        <v>0</v>
      </c>
      <c r="E5" s="643">
        <v>15</v>
      </c>
      <c r="F5" s="643">
        <v>2462</v>
      </c>
      <c r="G5" s="643">
        <v>532</v>
      </c>
      <c r="H5" s="643">
        <v>21486</v>
      </c>
      <c r="I5" s="643">
        <v>11</v>
      </c>
      <c r="J5" s="643">
        <v>219</v>
      </c>
      <c r="K5" s="643">
        <v>0</v>
      </c>
      <c r="L5" s="643">
        <v>624</v>
      </c>
      <c r="M5" s="644">
        <v>25532</v>
      </c>
      <c r="N5" s="559">
        <f>SUM(B5,E5)</f>
        <v>198</v>
      </c>
      <c r="O5" s="559">
        <f>SUM(C5,D5,G5,F5)</f>
        <v>2994</v>
      </c>
      <c r="P5" s="559">
        <f>SUM(H5:L5)</f>
        <v>22340</v>
      </c>
      <c r="Q5" s="594">
        <f>(10*N5)+(3*O5)+P5</f>
        <v>33302</v>
      </c>
      <c r="R5" s="560">
        <f>SUM(Q5/($Q$45+$Q$57))</f>
        <v>1.5674642211300313E-2</v>
      </c>
      <c r="S5" s="559">
        <f>SUM(N5:P5)</f>
        <v>25532</v>
      </c>
      <c r="T5" s="559">
        <f>S5-M5</f>
        <v>0</v>
      </c>
    </row>
    <row r="6" spans="1:20" s="607" customFormat="1" ht="11.25">
      <c r="A6" s="608" t="s">
        <v>84</v>
      </c>
      <c r="B6" s="643">
        <v>1907</v>
      </c>
      <c r="C6" s="643">
        <v>0</v>
      </c>
      <c r="D6" s="555">
        <v>0</v>
      </c>
      <c r="E6" s="643">
        <v>85</v>
      </c>
      <c r="F6" s="643">
        <v>5869</v>
      </c>
      <c r="G6" s="643">
        <v>959</v>
      </c>
      <c r="H6" s="643">
        <v>10886</v>
      </c>
      <c r="I6" s="643">
        <v>10</v>
      </c>
      <c r="J6" s="643">
        <v>241</v>
      </c>
      <c r="K6" s="643">
        <v>10</v>
      </c>
      <c r="L6" s="643">
        <v>40</v>
      </c>
      <c r="M6" s="644">
        <v>20006</v>
      </c>
      <c r="N6" s="559">
        <f t="shared" ref="N6:N43" si="0">SUM(B6,E6)</f>
        <v>1992</v>
      </c>
      <c r="O6" s="559">
        <f t="shared" ref="O6:O43" si="1">SUM(C6,D6,G6,F6)</f>
        <v>6828</v>
      </c>
      <c r="P6" s="559">
        <f t="shared" ref="P6:P43" si="2">SUM(H6:L6)</f>
        <v>11187</v>
      </c>
      <c r="Q6" s="594">
        <f t="shared" ref="Q6:Q42" si="3">(10*N6)+(3*O6)+P6</f>
        <v>51591</v>
      </c>
      <c r="R6" s="560">
        <f t="shared" ref="R6:R42" si="4">SUM(Q6/($Q$45+$Q$57))</f>
        <v>2.4282939953251894E-2</v>
      </c>
      <c r="S6" s="559">
        <f t="shared" ref="S6:S42" si="5">SUM(N6:P6)</f>
        <v>20007</v>
      </c>
      <c r="T6" s="559">
        <f t="shared" ref="T6:T43" si="6">S6-M6</f>
        <v>1</v>
      </c>
    </row>
    <row r="7" spans="1:20" s="607" customFormat="1" ht="11.25">
      <c r="A7" s="645" t="s">
        <v>35</v>
      </c>
      <c r="B7" s="643">
        <v>109</v>
      </c>
      <c r="C7" s="643">
        <v>0</v>
      </c>
      <c r="D7" s="555">
        <v>671</v>
      </c>
      <c r="E7" s="643">
        <v>20</v>
      </c>
      <c r="F7" s="643">
        <v>1868</v>
      </c>
      <c r="G7" s="643">
        <v>191</v>
      </c>
      <c r="H7" s="643">
        <v>2532</v>
      </c>
      <c r="I7" s="643">
        <v>0</v>
      </c>
      <c r="J7" s="643">
        <v>156</v>
      </c>
      <c r="K7" s="643">
        <v>50</v>
      </c>
      <c r="L7" s="643">
        <v>493</v>
      </c>
      <c r="M7" s="644">
        <v>6091</v>
      </c>
      <c r="N7" s="559">
        <f t="shared" si="0"/>
        <v>129</v>
      </c>
      <c r="O7" s="559">
        <f t="shared" si="1"/>
        <v>2730</v>
      </c>
      <c r="P7" s="559">
        <f t="shared" si="2"/>
        <v>3231</v>
      </c>
      <c r="Q7" s="594">
        <f t="shared" si="3"/>
        <v>12711</v>
      </c>
      <c r="R7" s="560">
        <f t="shared" si="4"/>
        <v>5.9828351795038828E-3</v>
      </c>
      <c r="S7" s="559">
        <f t="shared" si="5"/>
        <v>6090</v>
      </c>
      <c r="T7" s="559">
        <f t="shared" si="6"/>
        <v>-1</v>
      </c>
    </row>
    <row r="8" spans="1:20" s="607" customFormat="1" ht="11.25">
      <c r="A8" s="612" t="s">
        <v>57</v>
      </c>
      <c r="B8" s="643">
        <v>203</v>
      </c>
      <c r="C8" s="643">
        <v>1</v>
      </c>
      <c r="D8" s="555">
        <v>0</v>
      </c>
      <c r="E8" s="643">
        <v>26</v>
      </c>
      <c r="F8" s="643">
        <v>816</v>
      </c>
      <c r="G8" s="643">
        <v>119</v>
      </c>
      <c r="H8" s="643">
        <v>4405</v>
      </c>
      <c r="I8" s="643">
        <v>38</v>
      </c>
      <c r="J8" s="643">
        <v>129</v>
      </c>
      <c r="K8" s="643">
        <v>508</v>
      </c>
      <c r="L8" s="643">
        <v>1</v>
      </c>
      <c r="M8" s="644">
        <v>6247</v>
      </c>
      <c r="N8" s="559">
        <f t="shared" si="0"/>
        <v>229</v>
      </c>
      <c r="O8" s="559">
        <f t="shared" si="1"/>
        <v>936</v>
      </c>
      <c r="P8" s="559">
        <f t="shared" si="2"/>
        <v>5081</v>
      </c>
      <c r="Q8" s="594">
        <f t="shared" si="3"/>
        <v>10179</v>
      </c>
      <c r="R8" s="560">
        <f t="shared" si="4"/>
        <v>4.7910690970159719E-3</v>
      </c>
      <c r="S8" s="559">
        <f t="shared" si="5"/>
        <v>6246</v>
      </c>
      <c r="T8" s="559">
        <f t="shared" si="6"/>
        <v>-1</v>
      </c>
    </row>
    <row r="9" spans="1:20" s="607" customFormat="1" ht="11.25">
      <c r="A9" s="645" t="s">
        <v>14</v>
      </c>
      <c r="B9" s="643">
        <v>298</v>
      </c>
      <c r="C9" s="643">
        <v>2</v>
      </c>
      <c r="D9" s="555">
        <v>0</v>
      </c>
      <c r="E9" s="643">
        <v>15</v>
      </c>
      <c r="F9" s="643">
        <v>6547</v>
      </c>
      <c r="G9" s="643">
        <v>1047</v>
      </c>
      <c r="H9" s="643">
        <v>13358</v>
      </c>
      <c r="I9" s="643">
        <v>1634</v>
      </c>
      <c r="J9" s="643">
        <v>123</v>
      </c>
      <c r="K9" s="643">
        <v>446</v>
      </c>
      <c r="L9" s="643">
        <v>110</v>
      </c>
      <c r="M9" s="644">
        <v>23580</v>
      </c>
      <c r="N9" s="559">
        <f t="shared" si="0"/>
        <v>313</v>
      </c>
      <c r="O9" s="559">
        <f t="shared" si="1"/>
        <v>7596</v>
      </c>
      <c r="P9" s="559">
        <f t="shared" si="2"/>
        <v>15671</v>
      </c>
      <c r="Q9" s="594">
        <f t="shared" si="3"/>
        <v>41589</v>
      </c>
      <c r="R9" s="560">
        <f t="shared" si="4"/>
        <v>1.9575181518400361E-2</v>
      </c>
      <c r="S9" s="559">
        <f t="shared" si="5"/>
        <v>23580</v>
      </c>
      <c r="T9" s="559">
        <f t="shared" si="6"/>
        <v>0</v>
      </c>
    </row>
    <row r="10" spans="1:20" s="607" customFormat="1" ht="11.25">
      <c r="A10" s="645" t="s">
        <v>323</v>
      </c>
      <c r="B10" s="643">
        <v>167</v>
      </c>
      <c r="C10" s="643">
        <v>0</v>
      </c>
      <c r="D10" s="555">
        <v>0</v>
      </c>
      <c r="E10" s="643">
        <v>50</v>
      </c>
      <c r="F10" s="643">
        <v>5306</v>
      </c>
      <c r="G10" s="643">
        <v>322</v>
      </c>
      <c r="H10" s="643">
        <v>9022</v>
      </c>
      <c r="I10" s="643">
        <v>114</v>
      </c>
      <c r="J10" s="643">
        <v>110</v>
      </c>
      <c r="K10" s="643">
        <v>815</v>
      </c>
      <c r="L10" s="643">
        <v>69</v>
      </c>
      <c r="M10" s="644">
        <v>15974</v>
      </c>
      <c r="N10" s="559">
        <f t="shared" si="0"/>
        <v>217</v>
      </c>
      <c r="O10" s="559">
        <f t="shared" si="1"/>
        <v>5628</v>
      </c>
      <c r="P10" s="559">
        <f t="shared" si="2"/>
        <v>10130</v>
      </c>
      <c r="Q10" s="594">
        <f t="shared" si="3"/>
        <v>29184</v>
      </c>
      <c r="R10" s="560">
        <f t="shared" si="4"/>
        <v>1.3736374941282457E-2</v>
      </c>
      <c r="S10" s="559">
        <f t="shared" si="5"/>
        <v>15975</v>
      </c>
      <c r="T10" s="559">
        <f t="shared" si="6"/>
        <v>1</v>
      </c>
    </row>
    <row r="11" spans="1:20" s="607" customFormat="1" ht="11.25">
      <c r="A11" s="645" t="s">
        <v>336</v>
      </c>
      <c r="B11" s="643">
        <v>1277</v>
      </c>
      <c r="C11" s="643">
        <v>1</v>
      </c>
      <c r="D11" s="555">
        <v>0</v>
      </c>
      <c r="E11" s="643">
        <v>135</v>
      </c>
      <c r="F11" s="643">
        <v>2867</v>
      </c>
      <c r="G11" s="643">
        <v>511</v>
      </c>
      <c r="H11" s="643">
        <v>28289</v>
      </c>
      <c r="I11" s="643">
        <v>7</v>
      </c>
      <c r="J11" s="643">
        <v>159</v>
      </c>
      <c r="K11" s="643">
        <v>931</v>
      </c>
      <c r="L11" s="643">
        <v>61</v>
      </c>
      <c r="M11" s="644">
        <v>34239</v>
      </c>
      <c r="N11" s="559">
        <f t="shared" si="0"/>
        <v>1412</v>
      </c>
      <c r="O11" s="559">
        <f t="shared" si="1"/>
        <v>3379</v>
      </c>
      <c r="P11" s="559">
        <f t="shared" si="2"/>
        <v>29447</v>
      </c>
      <c r="Q11" s="594">
        <f t="shared" si="3"/>
        <v>53704</v>
      </c>
      <c r="R11" s="560">
        <f t="shared" si="4"/>
        <v>2.5277490400446582E-2</v>
      </c>
      <c r="S11" s="559">
        <f t="shared" si="5"/>
        <v>34238</v>
      </c>
      <c r="T11" s="559">
        <f t="shared" si="6"/>
        <v>-1</v>
      </c>
    </row>
    <row r="12" spans="1:20" s="607" customFormat="1" ht="11.25">
      <c r="A12" s="645" t="s">
        <v>63</v>
      </c>
      <c r="B12" s="643">
        <v>1135</v>
      </c>
      <c r="C12" s="643">
        <v>2</v>
      </c>
      <c r="D12" s="555">
        <v>0</v>
      </c>
      <c r="E12" s="643">
        <v>64</v>
      </c>
      <c r="F12" s="643">
        <v>8036</v>
      </c>
      <c r="G12" s="643">
        <v>1006</v>
      </c>
      <c r="H12" s="643">
        <v>30645</v>
      </c>
      <c r="I12" s="643">
        <v>415</v>
      </c>
      <c r="J12" s="643">
        <v>84</v>
      </c>
      <c r="K12" s="643">
        <v>0</v>
      </c>
      <c r="L12" s="643">
        <v>239</v>
      </c>
      <c r="M12" s="644">
        <v>41624</v>
      </c>
      <c r="N12" s="559">
        <f t="shared" si="0"/>
        <v>1199</v>
      </c>
      <c r="O12" s="559">
        <f t="shared" si="1"/>
        <v>9044</v>
      </c>
      <c r="P12" s="559">
        <f t="shared" si="2"/>
        <v>31383</v>
      </c>
      <c r="Q12" s="594">
        <f t="shared" si="3"/>
        <v>70505</v>
      </c>
      <c r="R12" s="560">
        <f t="shared" si="4"/>
        <v>3.3185413762168298E-2</v>
      </c>
      <c r="S12" s="559">
        <f t="shared" si="5"/>
        <v>41626</v>
      </c>
      <c r="T12" s="559">
        <f t="shared" si="6"/>
        <v>2</v>
      </c>
    </row>
    <row r="13" spans="1:20" s="607" customFormat="1" ht="11.25">
      <c r="A13" s="645" t="s">
        <v>45</v>
      </c>
      <c r="B13" s="643">
        <v>379</v>
      </c>
      <c r="C13" s="643">
        <v>1</v>
      </c>
      <c r="D13" s="555">
        <v>0</v>
      </c>
      <c r="E13" s="643">
        <v>97</v>
      </c>
      <c r="F13" s="643">
        <v>2712</v>
      </c>
      <c r="G13" s="643">
        <v>1074</v>
      </c>
      <c r="H13" s="643">
        <v>13539</v>
      </c>
      <c r="I13" s="643">
        <v>16</v>
      </c>
      <c r="J13" s="643">
        <v>154</v>
      </c>
      <c r="K13" s="643">
        <v>1309</v>
      </c>
      <c r="L13" s="643">
        <v>19</v>
      </c>
      <c r="M13" s="644">
        <v>19299</v>
      </c>
      <c r="N13" s="559">
        <f t="shared" si="0"/>
        <v>476</v>
      </c>
      <c r="O13" s="559">
        <f t="shared" si="1"/>
        <v>3787</v>
      </c>
      <c r="P13" s="559">
        <f t="shared" si="2"/>
        <v>15037</v>
      </c>
      <c r="Q13" s="594">
        <f t="shared" si="3"/>
        <v>31158</v>
      </c>
      <c r="R13" s="560">
        <f t="shared" si="4"/>
        <v>1.4665500631184169E-2</v>
      </c>
      <c r="S13" s="559">
        <f t="shared" si="5"/>
        <v>19300</v>
      </c>
      <c r="T13" s="559">
        <f t="shared" si="6"/>
        <v>1</v>
      </c>
    </row>
    <row r="14" spans="1:20" s="607" customFormat="1" ht="11.25">
      <c r="A14" s="645" t="s">
        <v>329</v>
      </c>
      <c r="B14" s="643">
        <v>196</v>
      </c>
      <c r="C14" s="643">
        <v>3</v>
      </c>
      <c r="D14" s="555">
        <v>0</v>
      </c>
      <c r="E14" s="643">
        <v>16</v>
      </c>
      <c r="F14" s="643">
        <v>3398</v>
      </c>
      <c r="G14" s="643">
        <v>165</v>
      </c>
      <c r="H14" s="643">
        <v>7789</v>
      </c>
      <c r="I14" s="643">
        <v>2</v>
      </c>
      <c r="J14" s="643">
        <v>211</v>
      </c>
      <c r="K14" s="643">
        <v>123</v>
      </c>
      <c r="L14" s="643">
        <v>46</v>
      </c>
      <c r="M14" s="644">
        <v>11948</v>
      </c>
      <c r="N14" s="559">
        <f t="shared" si="0"/>
        <v>212</v>
      </c>
      <c r="O14" s="559">
        <f t="shared" si="1"/>
        <v>3566</v>
      </c>
      <c r="P14" s="559">
        <f t="shared" si="2"/>
        <v>8171</v>
      </c>
      <c r="Q14" s="594">
        <f t="shared" si="3"/>
        <v>20989</v>
      </c>
      <c r="R14" s="560">
        <f t="shared" si="4"/>
        <v>9.8791383512396337E-3</v>
      </c>
      <c r="S14" s="559">
        <f t="shared" si="5"/>
        <v>11949</v>
      </c>
      <c r="T14" s="559">
        <f t="shared" si="6"/>
        <v>1</v>
      </c>
    </row>
    <row r="15" spans="1:20" s="607" customFormat="1" ht="11.25">
      <c r="A15" s="645" t="s">
        <v>324</v>
      </c>
      <c r="B15" s="643">
        <v>614</v>
      </c>
      <c r="C15" s="643">
        <v>5</v>
      </c>
      <c r="D15" s="555">
        <v>626</v>
      </c>
      <c r="E15" s="643">
        <v>26</v>
      </c>
      <c r="F15" s="643">
        <v>3107</v>
      </c>
      <c r="G15" s="643">
        <v>628</v>
      </c>
      <c r="H15" s="643">
        <v>12266</v>
      </c>
      <c r="I15" s="643">
        <v>0</v>
      </c>
      <c r="J15" s="643">
        <v>38</v>
      </c>
      <c r="K15" s="643">
        <v>303</v>
      </c>
      <c r="L15" s="643">
        <v>28</v>
      </c>
      <c r="M15" s="644">
        <v>17642</v>
      </c>
      <c r="N15" s="559">
        <f t="shared" si="0"/>
        <v>640</v>
      </c>
      <c r="O15" s="559">
        <f t="shared" si="1"/>
        <v>4366</v>
      </c>
      <c r="P15" s="559">
        <f t="shared" si="2"/>
        <v>12635</v>
      </c>
      <c r="Q15" s="594">
        <f t="shared" si="3"/>
        <v>32133</v>
      </c>
      <c r="R15" s="560">
        <f t="shared" si="4"/>
        <v>1.5124415295649301E-2</v>
      </c>
      <c r="S15" s="559">
        <f t="shared" si="5"/>
        <v>17641</v>
      </c>
      <c r="T15" s="559">
        <f t="shared" si="6"/>
        <v>-1</v>
      </c>
    </row>
    <row r="16" spans="1:20" s="607" customFormat="1" ht="11.25">
      <c r="A16" s="645" t="s">
        <v>37</v>
      </c>
      <c r="B16" s="643">
        <v>1346</v>
      </c>
      <c r="C16" s="643">
        <v>0</v>
      </c>
      <c r="D16" s="555">
        <v>776</v>
      </c>
      <c r="E16" s="643">
        <v>134</v>
      </c>
      <c r="F16" s="643">
        <v>3399</v>
      </c>
      <c r="G16" s="643">
        <v>809</v>
      </c>
      <c r="H16" s="643">
        <v>27997</v>
      </c>
      <c r="I16" s="643">
        <v>0</v>
      </c>
      <c r="J16" s="643">
        <v>338</v>
      </c>
      <c r="K16" s="643">
        <v>40</v>
      </c>
      <c r="L16" s="643">
        <v>498</v>
      </c>
      <c r="M16" s="644">
        <v>35338</v>
      </c>
      <c r="N16" s="559">
        <f t="shared" si="0"/>
        <v>1480</v>
      </c>
      <c r="O16" s="559">
        <f t="shared" si="1"/>
        <v>4984</v>
      </c>
      <c r="P16" s="559">
        <f t="shared" si="2"/>
        <v>28873</v>
      </c>
      <c r="Q16" s="594">
        <f t="shared" si="3"/>
        <v>58625</v>
      </c>
      <c r="R16" s="560">
        <f t="shared" si="4"/>
        <v>2.7593715081300853E-2</v>
      </c>
      <c r="S16" s="559">
        <f t="shared" si="5"/>
        <v>35337</v>
      </c>
      <c r="T16" s="559">
        <f t="shared" si="6"/>
        <v>-1</v>
      </c>
    </row>
    <row r="17" spans="1:20" s="607" customFormat="1" ht="11.25">
      <c r="A17" s="645" t="s">
        <v>38</v>
      </c>
      <c r="B17" s="643">
        <v>539</v>
      </c>
      <c r="C17" s="643">
        <v>0</v>
      </c>
      <c r="D17" s="555">
        <v>0</v>
      </c>
      <c r="E17" s="643">
        <v>23</v>
      </c>
      <c r="F17" s="643">
        <v>2033</v>
      </c>
      <c r="G17" s="643">
        <v>280</v>
      </c>
      <c r="H17" s="643">
        <v>11148</v>
      </c>
      <c r="I17" s="643">
        <v>0</v>
      </c>
      <c r="J17" s="643">
        <v>574</v>
      </c>
      <c r="K17" s="643">
        <v>224</v>
      </c>
      <c r="L17" s="643">
        <v>257</v>
      </c>
      <c r="M17" s="644">
        <v>15078</v>
      </c>
      <c r="N17" s="559">
        <f t="shared" si="0"/>
        <v>562</v>
      </c>
      <c r="O17" s="559">
        <f t="shared" si="1"/>
        <v>2313</v>
      </c>
      <c r="P17" s="559">
        <f t="shared" si="2"/>
        <v>12203</v>
      </c>
      <c r="Q17" s="594">
        <f t="shared" si="3"/>
        <v>24762</v>
      </c>
      <c r="R17" s="560">
        <f t="shared" si="4"/>
        <v>1.1655020432292907E-2</v>
      </c>
      <c r="S17" s="559">
        <f t="shared" si="5"/>
        <v>15078</v>
      </c>
      <c r="T17" s="559">
        <f t="shared" si="6"/>
        <v>0</v>
      </c>
    </row>
    <row r="18" spans="1:20" s="607" customFormat="1" ht="11.25">
      <c r="A18" s="645" t="s">
        <v>26</v>
      </c>
      <c r="B18" s="643">
        <v>878</v>
      </c>
      <c r="C18" s="643">
        <v>1</v>
      </c>
      <c r="D18" s="555">
        <v>0</v>
      </c>
      <c r="E18" s="643">
        <v>78</v>
      </c>
      <c r="F18" s="643">
        <v>4369</v>
      </c>
      <c r="G18" s="643">
        <v>184</v>
      </c>
      <c r="H18" s="643">
        <v>23567</v>
      </c>
      <c r="I18" s="643">
        <v>0</v>
      </c>
      <c r="J18" s="643">
        <v>362</v>
      </c>
      <c r="K18" s="643">
        <v>79</v>
      </c>
      <c r="L18" s="643">
        <v>27</v>
      </c>
      <c r="M18" s="644">
        <v>29544</v>
      </c>
      <c r="N18" s="559">
        <f t="shared" si="0"/>
        <v>956</v>
      </c>
      <c r="O18" s="559">
        <f t="shared" si="1"/>
        <v>4554</v>
      </c>
      <c r="P18" s="559">
        <f t="shared" si="2"/>
        <v>24035</v>
      </c>
      <c r="Q18" s="594">
        <f t="shared" si="3"/>
        <v>47257</v>
      </c>
      <c r="R18" s="560">
        <f t="shared" si="4"/>
        <v>2.2243005434490992E-2</v>
      </c>
      <c r="S18" s="559">
        <f t="shared" si="5"/>
        <v>29545</v>
      </c>
      <c r="T18" s="559">
        <f t="shared" si="6"/>
        <v>1</v>
      </c>
    </row>
    <row r="19" spans="1:20" s="607" customFormat="1" ht="11.25">
      <c r="A19" s="645" t="s">
        <v>15</v>
      </c>
      <c r="B19" s="643">
        <v>1109</v>
      </c>
      <c r="C19" s="643">
        <v>6</v>
      </c>
      <c r="D19" s="555">
        <v>0</v>
      </c>
      <c r="E19" s="643">
        <v>333</v>
      </c>
      <c r="F19" s="643">
        <v>5501</v>
      </c>
      <c r="G19" s="643">
        <v>257</v>
      </c>
      <c r="H19" s="643">
        <v>23833</v>
      </c>
      <c r="I19" s="643">
        <v>0</v>
      </c>
      <c r="J19" s="643">
        <v>1076</v>
      </c>
      <c r="K19" s="643">
        <v>404</v>
      </c>
      <c r="L19" s="643">
        <v>261</v>
      </c>
      <c r="M19" s="644">
        <v>32780</v>
      </c>
      <c r="N19" s="559">
        <f t="shared" si="0"/>
        <v>1442</v>
      </c>
      <c r="O19" s="559">
        <f t="shared" si="1"/>
        <v>5764</v>
      </c>
      <c r="P19" s="559">
        <f t="shared" si="2"/>
        <v>25574</v>
      </c>
      <c r="Q19" s="594">
        <f t="shared" si="3"/>
        <v>57286</v>
      </c>
      <c r="R19" s="560">
        <f t="shared" si="4"/>
        <v>2.6963472275435402E-2</v>
      </c>
      <c r="S19" s="559">
        <f t="shared" si="5"/>
        <v>32780</v>
      </c>
      <c r="T19" s="559">
        <f t="shared" si="6"/>
        <v>0</v>
      </c>
    </row>
    <row r="20" spans="1:20" s="607" customFormat="1" ht="11.25">
      <c r="A20" s="645" t="s">
        <v>28</v>
      </c>
      <c r="B20" s="643">
        <v>3339</v>
      </c>
      <c r="C20" s="643">
        <v>0</v>
      </c>
      <c r="D20" s="555">
        <v>0</v>
      </c>
      <c r="E20" s="643">
        <v>185</v>
      </c>
      <c r="F20" s="643">
        <v>14960</v>
      </c>
      <c r="G20" s="643">
        <v>1149</v>
      </c>
      <c r="H20" s="643">
        <v>46967</v>
      </c>
      <c r="I20" s="643">
        <v>0</v>
      </c>
      <c r="J20" s="643">
        <v>333</v>
      </c>
      <c r="K20" s="643">
        <v>11</v>
      </c>
      <c r="L20" s="643">
        <v>131</v>
      </c>
      <c r="M20" s="644">
        <v>67074</v>
      </c>
      <c r="N20" s="559">
        <f t="shared" si="0"/>
        <v>3524</v>
      </c>
      <c r="O20" s="559">
        <f t="shared" si="1"/>
        <v>16109</v>
      </c>
      <c r="P20" s="559">
        <f t="shared" si="2"/>
        <v>47442</v>
      </c>
      <c r="Q20" s="594">
        <f t="shared" si="3"/>
        <v>131009</v>
      </c>
      <c r="R20" s="560">
        <f t="shared" si="4"/>
        <v>6.1663539771192211E-2</v>
      </c>
      <c r="S20" s="559">
        <f t="shared" si="5"/>
        <v>67075</v>
      </c>
      <c r="T20" s="559">
        <f t="shared" si="6"/>
        <v>1</v>
      </c>
    </row>
    <row r="21" spans="1:20" s="607" customFormat="1" ht="11.25">
      <c r="A21" s="608" t="s">
        <v>46</v>
      </c>
      <c r="B21" s="643">
        <v>480</v>
      </c>
      <c r="C21" s="643">
        <v>0</v>
      </c>
      <c r="D21" s="555">
        <v>0</v>
      </c>
      <c r="E21" s="643">
        <v>58</v>
      </c>
      <c r="F21" s="643">
        <v>1438</v>
      </c>
      <c r="G21" s="643">
        <v>519</v>
      </c>
      <c r="H21" s="643">
        <v>12625</v>
      </c>
      <c r="I21" s="643">
        <v>0</v>
      </c>
      <c r="J21" s="643">
        <v>59</v>
      </c>
      <c r="K21" s="643">
        <v>825</v>
      </c>
      <c r="L21" s="643">
        <v>53</v>
      </c>
      <c r="M21" s="644">
        <v>16058</v>
      </c>
      <c r="N21" s="559">
        <f t="shared" si="0"/>
        <v>538</v>
      </c>
      <c r="O21" s="559">
        <f t="shared" si="1"/>
        <v>1957</v>
      </c>
      <c r="P21" s="559">
        <f t="shared" si="2"/>
        <v>13562</v>
      </c>
      <c r="Q21" s="594">
        <f t="shared" si="3"/>
        <v>24813</v>
      </c>
      <c r="R21" s="560">
        <f t="shared" si="4"/>
        <v>1.1679025199357236E-2</v>
      </c>
      <c r="S21" s="559">
        <f t="shared" si="5"/>
        <v>16057</v>
      </c>
      <c r="T21" s="559">
        <f t="shared" si="6"/>
        <v>-1</v>
      </c>
    </row>
    <row r="22" spans="1:20" s="607" customFormat="1" ht="11.25">
      <c r="A22" s="608" t="s">
        <v>39</v>
      </c>
      <c r="B22" s="643">
        <v>1369</v>
      </c>
      <c r="C22" s="643">
        <v>1</v>
      </c>
      <c r="D22" s="555">
        <v>0</v>
      </c>
      <c r="E22" s="643">
        <v>252</v>
      </c>
      <c r="F22" s="643">
        <v>3424</v>
      </c>
      <c r="G22" s="643">
        <v>1108</v>
      </c>
      <c r="H22" s="643">
        <v>30478</v>
      </c>
      <c r="I22" s="643">
        <v>0</v>
      </c>
      <c r="J22" s="643">
        <v>785</v>
      </c>
      <c r="K22" s="643">
        <v>0</v>
      </c>
      <c r="L22" s="643">
        <v>259</v>
      </c>
      <c r="M22" s="644">
        <v>37677</v>
      </c>
      <c r="N22" s="559">
        <f t="shared" si="0"/>
        <v>1621</v>
      </c>
      <c r="O22" s="559">
        <f t="shared" si="1"/>
        <v>4533</v>
      </c>
      <c r="P22" s="559">
        <f t="shared" si="2"/>
        <v>31522</v>
      </c>
      <c r="Q22" s="594">
        <f t="shared" si="3"/>
        <v>61331</v>
      </c>
      <c r="R22" s="560">
        <f t="shared" si="4"/>
        <v>2.8867379780831769E-2</v>
      </c>
      <c r="S22" s="559">
        <f t="shared" si="5"/>
        <v>37676</v>
      </c>
      <c r="T22" s="559">
        <f t="shared" si="6"/>
        <v>-1</v>
      </c>
    </row>
    <row r="23" spans="1:20" s="607" customFormat="1" ht="11.25">
      <c r="A23" s="608" t="s">
        <v>29</v>
      </c>
      <c r="B23" s="643">
        <v>1511</v>
      </c>
      <c r="C23" s="643">
        <v>0</v>
      </c>
      <c r="D23" s="555">
        <v>0</v>
      </c>
      <c r="E23" s="643">
        <v>114</v>
      </c>
      <c r="F23" s="643">
        <v>7525</v>
      </c>
      <c r="G23" s="643">
        <v>1064</v>
      </c>
      <c r="H23" s="643">
        <v>37604</v>
      </c>
      <c r="I23" s="643">
        <v>2784</v>
      </c>
      <c r="J23" s="643">
        <v>611</v>
      </c>
      <c r="K23" s="643">
        <v>6</v>
      </c>
      <c r="L23" s="643">
        <v>483</v>
      </c>
      <c r="M23" s="644">
        <v>51701</v>
      </c>
      <c r="N23" s="559">
        <f t="shared" si="0"/>
        <v>1625</v>
      </c>
      <c r="O23" s="559">
        <f t="shared" si="1"/>
        <v>8589</v>
      </c>
      <c r="P23" s="559">
        <f t="shared" si="2"/>
        <v>41488</v>
      </c>
      <c r="Q23" s="594">
        <f t="shared" si="3"/>
        <v>83505</v>
      </c>
      <c r="R23" s="560">
        <f t="shared" si="4"/>
        <v>3.9304275955036716E-2</v>
      </c>
      <c r="S23" s="559">
        <f t="shared" si="5"/>
        <v>51702</v>
      </c>
      <c r="T23" s="559">
        <f t="shared" si="6"/>
        <v>1</v>
      </c>
    </row>
    <row r="24" spans="1:20" s="607" customFormat="1" ht="11.25">
      <c r="A24" s="608" t="s">
        <v>16</v>
      </c>
      <c r="B24" s="643">
        <v>170</v>
      </c>
      <c r="C24" s="643">
        <v>0</v>
      </c>
      <c r="D24" s="555">
        <v>0</v>
      </c>
      <c r="E24" s="643">
        <v>26</v>
      </c>
      <c r="F24" s="643">
        <v>2007</v>
      </c>
      <c r="G24" s="643">
        <v>316</v>
      </c>
      <c r="H24" s="643">
        <v>7678</v>
      </c>
      <c r="I24" s="643">
        <v>302</v>
      </c>
      <c r="J24" s="643">
        <v>293</v>
      </c>
      <c r="K24" s="643">
        <v>461</v>
      </c>
      <c r="L24" s="643">
        <v>54</v>
      </c>
      <c r="M24" s="644">
        <v>11306</v>
      </c>
      <c r="N24" s="559">
        <f t="shared" si="0"/>
        <v>196</v>
      </c>
      <c r="O24" s="559">
        <f t="shared" si="1"/>
        <v>2323</v>
      </c>
      <c r="P24" s="559">
        <f t="shared" si="2"/>
        <v>8788</v>
      </c>
      <c r="Q24" s="594">
        <f t="shared" si="3"/>
        <v>17717</v>
      </c>
      <c r="R24" s="560">
        <f t="shared" si="4"/>
        <v>8.3390678054653684E-3</v>
      </c>
      <c r="S24" s="559">
        <f t="shared" si="5"/>
        <v>11307</v>
      </c>
      <c r="T24" s="559">
        <f t="shared" si="6"/>
        <v>1</v>
      </c>
    </row>
    <row r="25" spans="1:20" s="607" customFormat="1" ht="11.25">
      <c r="A25" s="608" t="s">
        <v>30</v>
      </c>
      <c r="B25" s="643">
        <v>851</v>
      </c>
      <c r="C25" s="643">
        <v>0</v>
      </c>
      <c r="D25" s="555">
        <v>0</v>
      </c>
      <c r="E25" s="643">
        <v>70</v>
      </c>
      <c r="F25" s="643">
        <v>3108</v>
      </c>
      <c r="G25" s="643">
        <v>436</v>
      </c>
      <c r="H25" s="643">
        <v>20971</v>
      </c>
      <c r="I25" s="643">
        <v>135</v>
      </c>
      <c r="J25" s="643">
        <v>1167</v>
      </c>
      <c r="K25" s="643">
        <v>0</v>
      </c>
      <c r="L25" s="643">
        <v>134</v>
      </c>
      <c r="M25" s="644">
        <v>26871</v>
      </c>
      <c r="N25" s="559">
        <f t="shared" si="0"/>
        <v>921</v>
      </c>
      <c r="O25" s="559">
        <f t="shared" si="1"/>
        <v>3544</v>
      </c>
      <c r="P25" s="559">
        <f t="shared" si="2"/>
        <v>22407</v>
      </c>
      <c r="Q25" s="594">
        <f t="shared" si="3"/>
        <v>42249</v>
      </c>
      <c r="R25" s="560">
        <f t="shared" si="4"/>
        <v>1.9885831445115219E-2</v>
      </c>
      <c r="S25" s="559">
        <f t="shared" si="5"/>
        <v>26872</v>
      </c>
      <c r="T25" s="559">
        <f t="shared" si="6"/>
        <v>1</v>
      </c>
    </row>
    <row r="26" spans="1:20" s="607" customFormat="1" ht="11.25">
      <c r="A26" s="608" t="s">
        <v>75</v>
      </c>
      <c r="B26" s="643">
        <v>1414</v>
      </c>
      <c r="C26" s="643">
        <v>0</v>
      </c>
      <c r="D26" s="555">
        <v>184</v>
      </c>
      <c r="E26" s="643">
        <v>217</v>
      </c>
      <c r="F26" s="643">
        <v>2812</v>
      </c>
      <c r="G26" s="643">
        <v>383</v>
      </c>
      <c r="H26" s="643">
        <v>15886</v>
      </c>
      <c r="I26" s="643">
        <v>0</v>
      </c>
      <c r="J26" s="643">
        <v>87</v>
      </c>
      <c r="K26" s="643">
        <v>72</v>
      </c>
      <c r="L26" s="643">
        <v>48</v>
      </c>
      <c r="M26" s="644">
        <v>21104</v>
      </c>
      <c r="N26" s="559">
        <f t="shared" si="0"/>
        <v>1631</v>
      </c>
      <c r="O26" s="559">
        <f t="shared" si="1"/>
        <v>3379</v>
      </c>
      <c r="P26" s="559">
        <f t="shared" si="2"/>
        <v>16093</v>
      </c>
      <c r="Q26" s="594">
        <f t="shared" si="3"/>
        <v>42540</v>
      </c>
      <c r="R26" s="560">
        <f t="shared" si="4"/>
        <v>2.0022799821894043E-2</v>
      </c>
      <c r="S26" s="559">
        <f t="shared" si="5"/>
        <v>21103</v>
      </c>
      <c r="T26" s="559">
        <f t="shared" si="6"/>
        <v>-1</v>
      </c>
    </row>
    <row r="27" spans="1:20" s="607" customFormat="1" ht="11.25">
      <c r="A27" s="608" t="s">
        <v>60</v>
      </c>
      <c r="B27" s="643">
        <v>323</v>
      </c>
      <c r="C27" s="643">
        <v>0</v>
      </c>
      <c r="D27" s="555">
        <v>34</v>
      </c>
      <c r="E27" s="643">
        <v>25</v>
      </c>
      <c r="F27" s="643">
        <v>1553</v>
      </c>
      <c r="G27" s="643">
        <v>202</v>
      </c>
      <c r="H27" s="643">
        <v>8844</v>
      </c>
      <c r="I27" s="643">
        <v>0</v>
      </c>
      <c r="J27" s="643">
        <v>265</v>
      </c>
      <c r="K27" s="643">
        <v>168</v>
      </c>
      <c r="L27" s="643">
        <v>81</v>
      </c>
      <c r="M27" s="644">
        <v>11494</v>
      </c>
      <c r="N27" s="559">
        <f t="shared" si="0"/>
        <v>348</v>
      </c>
      <c r="O27" s="559">
        <f t="shared" si="1"/>
        <v>1789</v>
      </c>
      <c r="P27" s="559">
        <f t="shared" si="2"/>
        <v>9358</v>
      </c>
      <c r="Q27" s="594">
        <f t="shared" si="3"/>
        <v>18205</v>
      </c>
      <c r="R27" s="560">
        <f t="shared" si="4"/>
        <v>8.5687604785515056E-3</v>
      </c>
      <c r="S27" s="559">
        <f t="shared" si="5"/>
        <v>11495</v>
      </c>
      <c r="T27" s="559">
        <f t="shared" si="6"/>
        <v>1</v>
      </c>
    </row>
    <row r="28" spans="1:20" s="607" customFormat="1" ht="11.25">
      <c r="A28" s="608" t="s">
        <v>76</v>
      </c>
      <c r="B28" s="643">
        <v>3213</v>
      </c>
      <c r="C28" s="643">
        <v>31</v>
      </c>
      <c r="D28" s="555">
        <v>15</v>
      </c>
      <c r="E28" s="643">
        <v>223</v>
      </c>
      <c r="F28" s="643">
        <v>21145</v>
      </c>
      <c r="G28" s="643">
        <v>1353</v>
      </c>
      <c r="H28" s="643">
        <v>26104</v>
      </c>
      <c r="I28" s="643">
        <v>44</v>
      </c>
      <c r="J28" s="643">
        <v>270</v>
      </c>
      <c r="K28" s="643">
        <v>36</v>
      </c>
      <c r="L28" s="643">
        <v>242</v>
      </c>
      <c r="M28" s="644">
        <v>52675</v>
      </c>
      <c r="N28" s="559">
        <f t="shared" si="0"/>
        <v>3436</v>
      </c>
      <c r="O28" s="559">
        <f t="shared" si="1"/>
        <v>22544</v>
      </c>
      <c r="P28" s="559">
        <f t="shared" si="2"/>
        <v>26696</v>
      </c>
      <c r="Q28" s="594">
        <f t="shared" si="3"/>
        <v>128688</v>
      </c>
      <c r="R28" s="560">
        <f t="shared" si="4"/>
        <v>6.0571087528911625E-2</v>
      </c>
      <c r="S28" s="559">
        <f t="shared" si="5"/>
        <v>52676</v>
      </c>
      <c r="T28" s="559">
        <f t="shared" si="6"/>
        <v>1</v>
      </c>
    </row>
    <row r="29" spans="1:20" s="607" customFormat="1" ht="11.25">
      <c r="A29" s="608" t="s">
        <v>77</v>
      </c>
      <c r="B29" s="643">
        <v>404</v>
      </c>
      <c r="C29" s="643">
        <v>0</v>
      </c>
      <c r="D29" s="555">
        <v>0</v>
      </c>
      <c r="E29" s="643">
        <v>61</v>
      </c>
      <c r="F29" s="643">
        <v>2091</v>
      </c>
      <c r="G29" s="643">
        <v>694</v>
      </c>
      <c r="H29" s="643">
        <v>8354</v>
      </c>
      <c r="I29" s="643">
        <v>9</v>
      </c>
      <c r="J29" s="643">
        <v>347</v>
      </c>
      <c r="K29" s="643">
        <v>256</v>
      </c>
      <c r="L29" s="643">
        <v>80</v>
      </c>
      <c r="M29" s="644">
        <v>12295</v>
      </c>
      <c r="N29" s="559">
        <f t="shared" si="0"/>
        <v>465</v>
      </c>
      <c r="O29" s="559">
        <f t="shared" si="1"/>
        <v>2785</v>
      </c>
      <c r="P29" s="559">
        <f t="shared" si="2"/>
        <v>9046</v>
      </c>
      <c r="Q29" s="594">
        <f t="shared" si="3"/>
        <v>22051</v>
      </c>
      <c r="R29" s="560">
        <f t="shared" si="4"/>
        <v>1.0379002324226269E-2</v>
      </c>
      <c r="S29" s="559">
        <f t="shared" si="5"/>
        <v>12296</v>
      </c>
      <c r="T29" s="559">
        <f t="shared" si="6"/>
        <v>1</v>
      </c>
    </row>
    <row r="30" spans="1:20" s="607" customFormat="1" ht="11.25">
      <c r="A30" s="608" t="s">
        <v>78</v>
      </c>
      <c r="B30" s="643">
        <v>2917</v>
      </c>
      <c r="C30" s="643">
        <v>0</v>
      </c>
      <c r="D30" s="555">
        <v>0</v>
      </c>
      <c r="E30" s="643">
        <v>289</v>
      </c>
      <c r="F30" s="643">
        <v>11154</v>
      </c>
      <c r="G30" s="643">
        <v>359</v>
      </c>
      <c r="H30" s="643">
        <v>31387</v>
      </c>
      <c r="I30" s="643">
        <v>0</v>
      </c>
      <c r="J30" s="643">
        <v>39</v>
      </c>
      <c r="K30" s="643">
        <v>132</v>
      </c>
      <c r="L30" s="643">
        <v>483</v>
      </c>
      <c r="M30" s="644">
        <v>46761</v>
      </c>
      <c r="N30" s="559">
        <f t="shared" si="0"/>
        <v>3206</v>
      </c>
      <c r="O30" s="559">
        <f t="shared" si="1"/>
        <v>11513</v>
      </c>
      <c r="P30" s="559">
        <f t="shared" si="2"/>
        <v>32041</v>
      </c>
      <c r="Q30" s="594">
        <f t="shared" si="3"/>
        <v>98640</v>
      </c>
      <c r="R30" s="560">
        <f t="shared" si="4"/>
        <v>4.6428043592656988E-2</v>
      </c>
      <c r="S30" s="559">
        <f t="shared" si="5"/>
        <v>46760</v>
      </c>
      <c r="T30" s="559">
        <f t="shared" si="6"/>
        <v>-1</v>
      </c>
    </row>
    <row r="31" spans="1:20" s="607" customFormat="1" ht="11.25">
      <c r="A31" s="608" t="s">
        <v>79</v>
      </c>
      <c r="B31" s="643">
        <v>1353</v>
      </c>
      <c r="C31" s="643">
        <v>7</v>
      </c>
      <c r="D31" s="555">
        <v>136</v>
      </c>
      <c r="E31" s="643">
        <v>74</v>
      </c>
      <c r="F31" s="643">
        <v>2127</v>
      </c>
      <c r="G31" s="643">
        <v>251</v>
      </c>
      <c r="H31" s="643">
        <v>19354</v>
      </c>
      <c r="I31" s="643">
        <v>11</v>
      </c>
      <c r="J31" s="643">
        <v>39</v>
      </c>
      <c r="K31" s="643">
        <v>1546</v>
      </c>
      <c r="L31" s="643">
        <v>147</v>
      </c>
      <c r="M31" s="644">
        <v>25044</v>
      </c>
      <c r="N31" s="559">
        <f t="shared" si="0"/>
        <v>1427</v>
      </c>
      <c r="O31" s="559">
        <f t="shared" si="1"/>
        <v>2521</v>
      </c>
      <c r="P31" s="559">
        <f t="shared" si="2"/>
        <v>21097</v>
      </c>
      <c r="Q31" s="594">
        <f t="shared" si="3"/>
        <v>42930</v>
      </c>
      <c r="R31" s="560">
        <f t="shared" si="4"/>
        <v>2.0206365687680094E-2</v>
      </c>
      <c r="S31" s="559">
        <f t="shared" si="5"/>
        <v>25045</v>
      </c>
      <c r="T31" s="559">
        <f t="shared" si="6"/>
        <v>1</v>
      </c>
    </row>
    <row r="32" spans="1:20" s="607" customFormat="1" ht="11.25">
      <c r="A32" s="608" t="s">
        <v>80</v>
      </c>
      <c r="B32" s="643">
        <v>146</v>
      </c>
      <c r="C32" s="643">
        <v>0</v>
      </c>
      <c r="D32" s="555">
        <v>837</v>
      </c>
      <c r="E32" s="643">
        <v>69</v>
      </c>
      <c r="F32" s="643">
        <v>312</v>
      </c>
      <c r="G32" s="643">
        <v>259</v>
      </c>
      <c r="H32" s="643">
        <v>6999</v>
      </c>
      <c r="I32" s="643">
        <v>0</v>
      </c>
      <c r="J32" s="643">
        <v>6</v>
      </c>
      <c r="K32" s="643">
        <v>312</v>
      </c>
      <c r="L32" s="643">
        <v>102</v>
      </c>
      <c r="M32" s="644">
        <v>9041</v>
      </c>
      <c r="N32" s="559">
        <f>SUM(B32,E32)</f>
        <v>215</v>
      </c>
      <c r="O32" s="559">
        <f>SUM(C32,D32,G32,F32)</f>
        <v>1408</v>
      </c>
      <c r="P32" s="559">
        <f>SUM(H32:L32)</f>
        <v>7419</v>
      </c>
      <c r="Q32" s="594">
        <f t="shared" si="3"/>
        <v>13793</v>
      </c>
      <c r="R32" s="560">
        <f t="shared" si="4"/>
        <v>6.4921127866333925E-3</v>
      </c>
      <c r="S32" s="559">
        <f t="shared" si="5"/>
        <v>9042</v>
      </c>
      <c r="T32" s="559">
        <f t="shared" si="6"/>
        <v>1</v>
      </c>
    </row>
    <row r="33" spans="1:21" s="607" customFormat="1" ht="11.25">
      <c r="A33" s="608" t="s">
        <v>81</v>
      </c>
      <c r="B33" s="643">
        <v>3071</v>
      </c>
      <c r="C33" s="643">
        <v>30</v>
      </c>
      <c r="D33" s="555">
        <v>1961</v>
      </c>
      <c r="E33" s="643">
        <v>226</v>
      </c>
      <c r="F33" s="643">
        <v>7438</v>
      </c>
      <c r="G33" s="643">
        <v>674</v>
      </c>
      <c r="H33" s="643">
        <v>27930</v>
      </c>
      <c r="I33" s="643">
        <v>128</v>
      </c>
      <c r="J33" s="643">
        <v>214</v>
      </c>
      <c r="K33" s="643">
        <v>178</v>
      </c>
      <c r="L33" s="643">
        <v>351</v>
      </c>
      <c r="M33" s="644">
        <v>42200</v>
      </c>
      <c r="N33" s="559">
        <f t="shared" si="0"/>
        <v>3297</v>
      </c>
      <c r="O33" s="559">
        <f t="shared" si="1"/>
        <v>10103</v>
      </c>
      <c r="P33" s="559">
        <f t="shared" si="2"/>
        <v>28801</v>
      </c>
      <c r="Q33" s="594">
        <f t="shared" si="3"/>
        <v>92080</v>
      </c>
      <c r="R33" s="560">
        <f t="shared" si="4"/>
        <v>4.3340371593794155E-2</v>
      </c>
      <c r="S33" s="559">
        <f t="shared" si="5"/>
        <v>42201</v>
      </c>
      <c r="T33" s="559">
        <f t="shared" si="6"/>
        <v>1</v>
      </c>
    </row>
    <row r="34" spans="1:21" s="603" customFormat="1" ht="11.25">
      <c r="A34" s="608" t="s">
        <v>52</v>
      </c>
      <c r="B34" s="643">
        <v>575</v>
      </c>
      <c r="C34" s="643">
        <v>2</v>
      </c>
      <c r="D34" s="555">
        <v>0</v>
      </c>
      <c r="E34" s="643">
        <v>56</v>
      </c>
      <c r="F34" s="643">
        <v>2630</v>
      </c>
      <c r="G34" s="643">
        <v>558</v>
      </c>
      <c r="H34" s="643">
        <v>18089</v>
      </c>
      <c r="I34" s="643">
        <v>85</v>
      </c>
      <c r="J34" s="643">
        <v>351</v>
      </c>
      <c r="K34" s="643">
        <v>606</v>
      </c>
      <c r="L34" s="643">
        <v>24</v>
      </c>
      <c r="M34" s="644">
        <v>22976</v>
      </c>
      <c r="N34" s="559">
        <f t="shared" si="0"/>
        <v>631</v>
      </c>
      <c r="O34" s="559">
        <f t="shared" si="1"/>
        <v>3190</v>
      </c>
      <c r="P34" s="559">
        <f t="shared" si="2"/>
        <v>19155</v>
      </c>
      <c r="Q34" s="594">
        <f t="shared" si="3"/>
        <v>35035</v>
      </c>
      <c r="R34" s="560">
        <f t="shared" si="4"/>
        <v>1.6490333609780389E-2</v>
      </c>
      <c r="S34" s="559">
        <f t="shared" si="5"/>
        <v>22976</v>
      </c>
      <c r="T34" s="559">
        <f t="shared" si="6"/>
        <v>0</v>
      </c>
    </row>
    <row r="35" spans="1:21" s="607" customFormat="1" ht="11.25">
      <c r="A35" s="608" t="s">
        <v>41</v>
      </c>
      <c r="B35" s="643">
        <v>451</v>
      </c>
      <c r="C35" s="643">
        <v>0</v>
      </c>
      <c r="D35" s="555">
        <v>0</v>
      </c>
      <c r="E35" s="643">
        <v>51</v>
      </c>
      <c r="F35" s="643">
        <v>1734</v>
      </c>
      <c r="G35" s="643">
        <v>417</v>
      </c>
      <c r="H35" s="643">
        <v>9420</v>
      </c>
      <c r="I35" s="643">
        <v>437</v>
      </c>
      <c r="J35" s="643">
        <v>134</v>
      </c>
      <c r="K35" s="643">
        <v>1298</v>
      </c>
      <c r="L35" s="643">
        <v>74</v>
      </c>
      <c r="M35" s="644">
        <v>14016</v>
      </c>
      <c r="N35" s="559">
        <f t="shared" si="0"/>
        <v>502</v>
      </c>
      <c r="O35" s="559">
        <f t="shared" si="1"/>
        <v>2151</v>
      </c>
      <c r="P35" s="559">
        <f t="shared" si="2"/>
        <v>11363</v>
      </c>
      <c r="Q35" s="594">
        <f t="shared" si="3"/>
        <v>22836</v>
      </c>
      <c r="R35" s="560">
        <f t="shared" si="4"/>
        <v>1.0748487464334093E-2</v>
      </c>
      <c r="S35" s="559">
        <f t="shared" si="5"/>
        <v>14016</v>
      </c>
      <c r="T35" s="559">
        <f t="shared" si="6"/>
        <v>0</v>
      </c>
    </row>
    <row r="36" spans="1:21" s="607" customFormat="1" ht="11.25">
      <c r="A36" s="608" t="s">
        <v>82</v>
      </c>
      <c r="B36" s="643">
        <v>2934</v>
      </c>
      <c r="C36" s="643">
        <v>34</v>
      </c>
      <c r="D36" s="555">
        <v>0</v>
      </c>
      <c r="E36" s="643">
        <v>549</v>
      </c>
      <c r="F36" s="643">
        <v>15543</v>
      </c>
      <c r="G36" s="643">
        <v>836</v>
      </c>
      <c r="H36" s="643">
        <v>30880</v>
      </c>
      <c r="I36" s="643">
        <v>0</v>
      </c>
      <c r="J36" s="643">
        <v>98</v>
      </c>
      <c r="K36" s="643">
        <v>3</v>
      </c>
      <c r="L36" s="643">
        <v>548</v>
      </c>
      <c r="M36" s="644">
        <v>51425</v>
      </c>
      <c r="N36" s="559">
        <f t="shared" si="0"/>
        <v>3483</v>
      </c>
      <c r="O36" s="559">
        <f t="shared" si="1"/>
        <v>16413</v>
      </c>
      <c r="P36" s="559">
        <f t="shared" si="2"/>
        <v>31529</v>
      </c>
      <c r="Q36" s="594">
        <f t="shared" si="3"/>
        <v>115598</v>
      </c>
      <c r="R36" s="560">
        <f t="shared" si="4"/>
        <v>5.4409863982400268E-2</v>
      </c>
      <c r="S36" s="559">
        <f t="shared" si="5"/>
        <v>51425</v>
      </c>
      <c r="T36" s="559">
        <f t="shared" si="6"/>
        <v>0</v>
      </c>
    </row>
    <row r="37" spans="1:21" s="607" customFormat="1" ht="11.25">
      <c r="A37" s="608" t="s">
        <v>54</v>
      </c>
      <c r="B37" s="643">
        <v>1026</v>
      </c>
      <c r="C37" s="643">
        <v>0</v>
      </c>
      <c r="D37" s="555">
        <v>0</v>
      </c>
      <c r="E37" s="643">
        <v>44</v>
      </c>
      <c r="F37" s="643">
        <v>2932</v>
      </c>
      <c r="G37" s="643">
        <v>549</v>
      </c>
      <c r="H37" s="643">
        <v>14374</v>
      </c>
      <c r="I37" s="643">
        <v>389</v>
      </c>
      <c r="J37" s="643">
        <v>1267</v>
      </c>
      <c r="K37" s="643">
        <v>580</v>
      </c>
      <c r="L37" s="643">
        <v>32</v>
      </c>
      <c r="M37" s="644">
        <v>21194</v>
      </c>
      <c r="N37" s="559">
        <f t="shared" si="0"/>
        <v>1070</v>
      </c>
      <c r="O37" s="559">
        <f t="shared" si="1"/>
        <v>3481</v>
      </c>
      <c r="P37" s="559">
        <f t="shared" si="2"/>
        <v>16642</v>
      </c>
      <c r="Q37" s="594">
        <f t="shared" si="3"/>
        <v>37785</v>
      </c>
      <c r="R37" s="560">
        <f t="shared" si="4"/>
        <v>1.778470830442563E-2</v>
      </c>
      <c r="S37" s="559">
        <f t="shared" si="5"/>
        <v>21193</v>
      </c>
      <c r="T37" s="559">
        <f t="shared" si="6"/>
        <v>-1</v>
      </c>
    </row>
    <row r="38" spans="1:21" s="607" customFormat="1" ht="11.25">
      <c r="A38" s="608" t="s">
        <v>321</v>
      </c>
      <c r="B38" s="643">
        <v>1366</v>
      </c>
      <c r="C38" s="643">
        <v>0</v>
      </c>
      <c r="D38" s="555">
        <v>0</v>
      </c>
      <c r="E38" s="643">
        <v>132</v>
      </c>
      <c r="F38" s="643">
        <v>6161</v>
      </c>
      <c r="G38" s="643">
        <v>594</v>
      </c>
      <c r="H38" s="643">
        <v>26132</v>
      </c>
      <c r="I38" s="643">
        <v>0</v>
      </c>
      <c r="J38" s="643">
        <v>77</v>
      </c>
      <c r="K38" s="643">
        <v>779</v>
      </c>
      <c r="L38" s="643">
        <v>235</v>
      </c>
      <c r="M38" s="644">
        <v>35476</v>
      </c>
      <c r="N38" s="559">
        <f t="shared" si="0"/>
        <v>1498</v>
      </c>
      <c r="O38" s="559">
        <f t="shared" si="1"/>
        <v>6755</v>
      </c>
      <c r="P38" s="559">
        <f t="shared" si="2"/>
        <v>27223</v>
      </c>
      <c r="Q38" s="594">
        <f t="shared" si="3"/>
        <v>62468</v>
      </c>
      <c r="R38" s="560">
        <f t="shared" si="4"/>
        <v>2.9402544881854186E-2</v>
      </c>
      <c r="S38" s="559">
        <f t="shared" si="5"/>
        <v>35476</v>
      </c>
      <c r="T38" s="559">
        <f t="shared" si="6"/>
        <v>0</v>
      </c>
    </row>
    <row r="39" spans="1:21" s="607" customFormat="1" ht="11.25">
      <c r="A39" s="608" t="s">
        <v>42</v>
      </c>
      <c r="B39" s="643">
        <v>234</v>
      </c>
      <c r="C39" s="643">
        <v>0</v>
      </c>
      <c r="D39" s="555">
        <v>0</v>
      </c>
      <c r="E39" s="643">
        <v>39</v>
      </c>
      <c r="F39" s="643">
        <v>1590</v>
      </c>
      <c r="G39" s="643">
        <v>45</v>
      </c>
      <c r="H39" s="643">
        <v>9206</v>
      </c>
      <c r="I39" s="643">
        <v>49</v>
      </c>
      <c r="J39" s="643">
        <v>138</v>
      </c>
      <c r="K39" s="643">
        <v>496</v>
      </c>
      <c r="L39" s="643">
        <v>137</v>
      </c>
      <c r="M39" s="644">
        <v>11934</v>
      </c>
      <c r="N39" s="559">
        <f t="shared" si="0"/>
        <v>273</v>
      </c>
      <c r="O39" s="559">
        <f t="shared" si="1"/>
        <v>1635</v>
      </c>
      <c r="P39" s="559">
        <f t="shared" si="2"/>
        <v>10026</v>
      </c>
      <c r="Q39" s="594">
        <f t="shared" si="3"/>
        <v>17661</v>
      </c>
      <c r="R39" s="560">
        <f t="shared" si="4"/>
        <v>8.3127096298653193E-3</v>
      </c>
      <c r="S39" s="559">
        <f t="shared" si="5"/>
        <v>11934</v>
      </c>
      <c r="T39" s="559">
        <f t="shared" si="6"/>
        <v>0</v>
      </c>
    </row>
    <row r="40" spans="1:21" s="607" customFormat="1" ht="11.25">
      <c r="A40" s="608" t="s">
        <v>83</v>
      </c>
      <c r="B40" s="643">
        <v>1404</v>
      </c>
      <c r="C40" s="643">
        <v>0</v>
      </c>
      <c r="D40" s="555">
        <v>1549</v>
      </c>
      <c r="E40" s="643">
        <v>104</v>
      </c>
      <c r="F40" s="643">
        <v>3801</v>
      </c>
      <c r="G40" s="643">
        <v>253</v>
      </c>
      <c r="H40" s="643">
        <v>11570</v>
      </c>
      <c r="I40" s="643">
        <v>0</v>
      </c>
      <c r="J40" s="643">
        <v>179</v>
      </c>
      <c r="K40" s="643">
        <v>49</v>
      </c>
      <c r="L40" s="643">
        <v>3</v>
      </c>
      <c r="M40" s="644">
        <v>18911</v>
      </c>
      <c r="N40" s="559">
        <f t="shared" si="0"/>
        <v>1508</v>
      </c>
      <c r="O40" s="559">
        <f t="shared" si="1"/>
        <v>5603</v>
      </c>
      <c r="P40" s="559">
        <f t="shared" si="2"/>
        <v>11801</v>
      </c>
      <c r="Q40" s="594">
        <f t="shared" si="3"/>
        <v>43690</v>
      </c>
      <c r="R40" s="560">
        <f t="shared" si="4"/>
        <v>2.0564083785109325E-2</v>
      </c>
      <c r="S40" s="559">
        <f t="shared" si="5"/>
        <v>18912</v>
      </c>
      <c r="T40" s="559">
        <f t="shared" si="6"/>
        <v>1</v>
      </c>
    </row>
    <row r="41" spans="1:21" s="607" customFormat="1" ht="11.25">
      <c r="A41" s="620" t="s">
        <v>23</v>
      </c>
      <c r="B41" s="575">
        <v>1174</v>
      </c>
      <c r="C41" s="575">
        <v>0</v>
      </c>
      <c r="D41" s="563">
        <v>0</v>
      </c>
      <c r="E41" s="575">
        <v>103</v>
      </c>
      <c r="F41" s="575">
        <v>4287</v>
      </c>
      <c r="G41" s="575">
        <v>274</v>
      </c>
      <c r="H41" s="575">
        <v>19185</v>
      </c>
      <c r="I41" s="575">
        <v>0</v>
      </c>
      <c r="J41" s="575">
        <v>76</v>
      </c>
      <c r="K41" s="575">
        <v>289</v>
      </c>
      <c r="L41" s="575">
        <v>409</v>
      </c>
      <c r="M41" s="646">
        <v>25796</v>
      </c>
      <c r="N41" s="559">
        <f t="shared" si="0"/>
        <v>1277</v>
      </c>
      <c r="O41" s="559">
        <f t="shared" si="1"/>
        <v>4561</v>
      </c>
      <c r="P41" s="559">
        <f t="shared" si="2"/>
        <v>19959</v>
      </c>
      <c r="Q41" s="594">
        <f t="shared" si="3"/>
        <v>46412</v>
      </c>
      <c r="R41" s="560">
        <f t="shared" si="4"/>
        <v>2.1845279391954544E-2</v>
      </c>
      <c r="S41" s="559">
        <f t="shared" si="5"/>
        <v>25797</v>
      </c>
      <c r="T41" s="559">
        <f t="shared" si="6"/>
        <v>1</v>
      </c>
    </row>
    <row r="42" spans="1:21" s="607" customFormat="1" ht="11.25">
      <c r="A42" s="608" t="s">
        <v>33</v>
      </c>
      <c r="B42" s="575">
        <v>428</v>
      </c>
      <c r="C42" s="575">
        <v>1</v>
      </c>
      <c r="D42" s="563">
        <v>0</v>
      </c>
      <c r="E42" s="575">
        <v>34</v>
      </c>
      <c r="F42" s="575">
        <v>2902</v>
      </c>
      <c r="G42" s="575">
        <v>281</v>
      </c>
      <c r="H42" s="575">
        <v>15072</v>
      </c>
      <c r="I42" s="575">
        <v>0</v>
      </c>
      <c r="J42" s="575">
        <v>1198</v>
      </c>
      <c r="K42" s="575">
        <v>28</v>
      </c>
      <c r="L42" s="575">
        <v>235</v>
      </c>
      <c r="M42" s="646">
        <v>20178</v>
      </c>
      <c r="N42" s="559">
        <f t="shared" si="0"/>
        <v>462</v>
      </c>
      <c r="O42" s="559">
        <f t="shared" si="1"/>
        <v>3184</v>
      </c>
      <c r="P42" s="559">
        <f t="shared" si="2"/>
        <v>16533</v>
      </c>
      <c r="Q42" s="594">
        <f t="shared" si="3"/>
        <v>30705</v>
      </c>
      <c r="R42" s="560">
        <f t="shared" si="4"/>
        <v>1.4452281817848063E-2</v>
      </c>
      <c r="S42" s="559">
        <f t="shared" si="5"/>
        <v>20179</v>
      </c>
      <c r="T42" s="559">
        <f t="shared" si="6"/>
        <v>1</v>
      </c>
    </row>
    <row r="43" spans="1:21" s="607" customFormat="1" ht="11.25">
      <c r="A43" s="608" t="s">
        <v>322</v>
      </c>
      <c r="B43" s="643">
        <v>808</v>
      </c>
      <c r="C43" s="643">
        <v>0</v>
      </c>
      <c r="D43" s="555">
        <v>0</v>
      </c>
      <c r="E43" s="643">
        <v>145</v>
      </c>
      <c r="F43" s="643">
        <v>4082</v>
      </c>
      <c r="G43" s="643">
        <v>350</v>
      </c>
      <c r="H43" s="643">
        <v>27540</v>
      </c>
      <c r="I43" s="643">
        <v>19</v>
      </c>
      <c r="J43" s="643">
        <v>1729</v>
      </c>
      <c r="K43" s="643">
        <v>880</v>
      </c>
      <c r="L43" s="643">
        <v>158</v>
      </c>
      <c r="M43" s="644">
        <v>35712</v>
      </c>
      <c r="N43" s="559">
        <f t="shared" si="0"/>
        <v>953</v>
      </c>
      <c r="O43" s="559">
        <f t="shared" si="1"/>
        <v>4432</v>
      </c>
      <c r="P43" s="559">
        <f t="shared" si="2"/>
        <v>30326</v>
      </c>
      <c r="Q43" s="594">
        <f>(10*N43)+(3*O43)+P43</f>
        <v>53152</v>
      </c>
      <c r="R43" s="560">
        <f>SUM(Q43/($Q$45+$Q$57))</f>
        <v>2.5017674098103248E-2</v>
      </c>
      <c r="S43" s="559">
        <f>SUM(N43:P43)</f>
        <v>35711</v>
      </c>
      <c r="T43" s="559">
        <f t="shared" si="6"/>
        <v>-1</v>
      </c>
    </row>
    <row r="44" spans="1:21" s="607" customFormat="1" ht="11.25">
      <c r="A44" s="608"/>
      <c r="B44" s="609"/>
      <c r="C44" s="609"/>
      <c r="D44" s="610"/>
      <c r="E44" s="609"/>
      <c r="F44" s="609"/>
      <c r="G44" s="609"/>
      <c r="H44" s="609"/>
      <c r="I44" s="609"/>
      <c r="J44" s="609"/>
      <c r="K44" s="609"/>
      <c r="L44" s="609"/>
      <c r="M44" s="611"/>
    </row>
    <row r="45" spans="1:21" s="607" customFormat="1" ht="11.25">
      <c r="A45" s="629" t="s">
        <v>331</v>
      </c>
      <c r="B45" s="630">
        <f t="shared" ref="B45:T45" si="7">SUM(B5:B43)</f>
        <v>41301</v>
      </c>
      <c r="C45" s="630">
        <f t="shared" si="7"/>
        <v>128</v>
      </c>
      <c r="D45" s="630">
        <f t="shared" si="7"/>
        <v>6789</v>
      </c>
      <c r="E45" s="630">
        <f t="shared" si="7"/>
        <v>4263</v>
      </c>
      <c r="F45" s="630">
        <f t="shared" si="7"/>
        <v>185046</v>
      </c>
      <c r="G45" s="630">
        <f t="shared" si="7"/>
        <v>21008</v>
      </c>
      <c r="H45" s="630">
        <f t="shared" si="7"/>
        <v>723411</v>
      </c>
      <c r="I45" s="630">
        <f t="shared" si="7"/>
        <v>6639</v>
      </c>
      <c r="J45" s="630">
        <f t="shared" si="7"/>
        <v>13736</v>
      </c>
      <c r="K45" s="630">
        <f t="shared" si="7"/>
        <v>14253</v>
      </c>
      <c r="L45" s="630">
        <f t="shared" si="7"/>
        <v>7276</v>
      </c>
      <c r="M45" s="630">
        <f t="shared" si="7"/>
        <v>1023841</v>
      </c>
      <c r="N45" s="630">
        <f t="shared" si="7"/>
        <v>45564</v>
      </c>
      <c r="O45" s="630">
        <f t="shared" si="7"/>
        <v>212971</v>
      </c>
      <c r="P45" s="630">
        <f t="shared" si="7"/>
        <v>765315</v>
      </c>
      <c r="Q45" s="630">
        <f t="shared" si="7"/>
        <v>1859868</v>
      </c>
      <c r="R45" s="635">
        <f t="shared" si="7"/>
        <v>0.87540584530198462</v>
      </c>
      <c r="S45" s="636">
        <f t="shared" si="7"/>
        <v>1023850</v>
      </c>
      <c r="T45" s="636">
        <f t="shared" si="7"/>
        <v>9</v>
      </c>
      <c r="U45" s="631"/>
    </row>
    <row r="46" spans="1:21" s="607" customFormat="1" ht="11.25">
      <c r="A46" s="612" t="s">
        <v>340</v>
      </c>
      <c r="B46" s="613">
        <v>41172</v>
      </c>
      <c r="C46" s="613">
        <v>241</v>
      </c>
      <c r="D46" s="614">
        <v>6631</v>
      </c>
      <c r="E46" s="613">
        <v>4566</v>
      </c>
      <c r="F46" s="613">
        <v>178688</v>
      </c>
      <c r="G46" s="613">
        <v>29462</v>
      </c>
      <c r="H46" s="613">
        <v>747250</v>
      </c>
      <c r="I46" s="613">
        <v>7426</v>
      </c>
      <c r="J46" s="613">
        <v>34750</v>
      </c>
      <c r="K46" s="613">
        <v>14579</v>
      </c>
      <c r="L46" s="613">
        <v>7499</v>
      </c>
      <c r="M46" s="613">
        <v>1072263</v>
      </c>
    </row>
    <row r="47" spans="1:21" s="607" customFormat="1" ht="11.25">
      <c r="A47" s="612" t="s">
        <v>341</v>
      </c>
      <c r="B47" s="615">
        <f>(B45-B46)/B46</f>
        <v>3.1331973185660159E-3</v>
      </c>
      <c r="C47" s="615">
        <f t="shared" ref="C47:M47" si="8">(C45-C46)/C46</f>
        <v>-0.46887966804979253</v>
      </c>
      <c r="D47" s="615">
        <f t="shared" si="8"/>
        <v>2.3827477001960487E-2</v>
      </c>
      <c r="E47" s="615">
        <f t="shared" si="8"/>
        <v>-6.6360052562417865E-2</v>
      </c>
      <c r="F47" s="615">
        <f t="shared" si="8"/>
        <v>3.5581572349570198E-2</v>
      </c>
      <c r="G47" s="615">
        <f t="shared" si="8"/>
        <v>-0.28694589640893353</v>
      </c>
      <c r="H47" s="615">
        <f t="shared" si="8"/>
        <v>-3.1902308464369353E-2</v>
      </c>
      <c r="I47" s="615">
        <f t="shared" si="8"/>
        <v>-0.10597899272825209</v>
      </c>
      <c r="J47" s="615">
        <f t="shared" si="8"/>
        <v>-0.6047194244604317</v>
      </c>
      <c r="K47" s="615">
        <f t="shared" si="8"/>
        <v>-2.236093010494547E-2</v>
      </c>
      <c r="L47" s="615">
        <f t="shared" si="8"/>
        <v>-2.9737298306440858E-2</v>
      </c>
      <c r="M47" s="615">
        <f t="shared" si="8"/>
        <v>-4.5158697073385913E-2</v>
      </c>
    </row>
    <row r="48" spans="1:21" s="607" customFormat="1" ht="11.25">
      <c r="A48" s="612"/>
      <c r="B48" s="615"/>
      <c r="C48" s="615"/>
      <c r="D48" s="615"/>
      <c r="E48" s="615"/>
      <c r="F48" s="615"/>
      <c r="G48" s="615"/>
      <c r="H48" s="615"/>
      <c r="I48" s="615"/>
      <c r="J48" s="615"/>
      <c r="K48" s="615"/>
      <c r="L48" s="615"/>
      <c r="M48" s="615"/>
    </row>
    <row r="49" spans="1:20" s="607" customFormat="1" ht="11.25">
      <c r="A49" s="577" t="s">
        <v>126</v>
      </c>
      <c r="B49" s="631"/>
      <c r="C49" s="631"/>
      <c r="D49" s="631"/>
      <c r="E49" s="631"/>
      <c r="F49" s="631"/>
      <c r="G49" s="631"/>
      <c r="H49" s="631"/>
      <c r="I49" s="631"/>
      <c r="J49" s="631"/>
      <c r="K49" s="631"/>
      <c r="L49" s="631"/>
      <c r="M49" s="631">
        <v>18445</v>
      </c>
      <c r="N49" s="631">
        <v>740</v>
      </c>
      <c r="O49" s="631">
        <v>3440</v>
      </c>
      <c r="P49" s="631">
        <v>14265</v>
      </c>
      <c r="Q49" s="631">
        <f t="shared" ref="Q49:Q54" si="9">(10*N49)+(3*O49)+P49</f>
        <v>31985</v>
      </c>
      <c r="R49" s="637">
        <f t="shared" ref="R49:R54" si="10">SUM(Q49/($Q$45+$Q$57))</f>
        <v>1.5054754402992029E-2</v>
      </c>
      <c r="S49" s="631">
        <f>SUM(N49:P49)</f>
        <v>18445</v>
      </c>
      <c r="T49" s="559">
        <f>S49-M49</f>
        <v>0</v>
      </c>
    </row>
    <row r="50" spans="1:20" s="607" customFormat="1" ht="11.25">
      <c r="A50" s="577" t="s">
        <v>124</v>
      </c>
      <c r="B50" s="631"/>
      <c r="C50" s="631"/>
      <c r="D50" s="631"/>
      <c r="E50" s="631"/>
      <c r="F50" s="631"/>
      <c r="G50" s="631"/>
      <c r="H50" s="631"/>
      <c r="I50" s="631"/>
      <c r="J50" s="631"/>
      <c r="K50" s="631"/>
      <c r="L50" s="631"/>
      <c r="M50" s="631">
        <v>2085</v>
      </c>
      <c r="N50" s="631">
        <v>260</v>
      </c>
      <c r="O50" s="631">
        <v>400</v>
      </c>
      <c r="P50" s="631">
        <v>1425</v>
      </c>
      <c r="Q50" s="631">
        <f t="shared" si="9"/>
        <v>5225</v>
      </c>
      <c r="R50" s="637">
        <f t="shared" si="10"/>
        <v>2.4593119198259607E-3</v>
      </c>
      <c r="S50" s="631">
        <f>SUM(N50:P50)</f>
        <v>2085</v>
      </c>
      <c r="T50" s="559">
        <f t="shared" ref="T50:T56" si="11">S50-M50</f>
        <v>0</v>
      </c>
    </row>
    <row r="51" spans="1:20" s="607" customFormat="1" ht="11.25">
      <c r="A51" s="577" t="s">
        <v>121</v>
      </c>
      <c r="B51" s="631"/>
      <c r="C51" s="631"/>
      <c r="D51" s="631"/>
      <c r="E51" s="631"/>
      <c r="F51" s="631"/>
      <c r="G51" s="631"/>
      <c r="H51" s="631"/>
      <c r="I51" s="631"/>
      <c r="J51" s="631"/>
      <c r="K51" s="631"/>
      <c r="L51" s="631"/>
      <c r="M51" s="631">
        <v>17765</v>
      </c>
      <c r="N51" s="631">
        <v>875</v>
      </c>
      <c r="O51" s="631">
        <v>5460</v>
      </c>
      <c r="P51" s="631">
        <v>11430</v>
      </c>
      <c r="Q51" s="631">
        <f t="shared" si="9"/>
        <v>36560</v>
      </c>
      <c r="R51" s="637">
        <f t="shared" si="10"/>
        <v>1.7208123213174571E-2</v>
      </c>
      <c r="S51" s="631">
        <f t="shared" ref="S51:S54" si="12">SUM(N51:P51)</f>
        <v>17765</v>
      </c>
      <c r="T51" s="559">
        <f t="shared" si="11"/>
        <v>0</v>
      </c>
    </row>
    <row r="52" spans="1:20" s="607" customFormat="1" ht="11.25">
      <c r="A52" s="577" t="s">
        <v>112</v>
      </c>
      <c r="B52" s="631"/>
      <c r="C52" s="631"/>
      <c r="D52" s="631"/>
      <c r="E52" s="631"/>
      <c r="F52" s="631"/>
      <c r="G52" s="631"/>
      <c r="H52" s="631"/>
      <c r="I52" s="631"/>
      <c r="J52" s="631"/>
      <c r="K52" s="631"/>
      <c r="L52" s="631"/>
      <c r="M52" s="631">
        <v>33275</v>
      </c>
      <c r="N52" s="631">
        <v>2200</v>
      </c>
      <c r="O52" s="631">
        <v>9645</v>
      </c>
      <c r="P52" s="631">
        <v>21430</v>
      </c>
      <c r="Q52" s="631">
        <f t="shared" si="9"/>
        <v>72365</v>
      </c>
      <c r="R52" s="637">
        <f t="shared" si="10"/>
        <v>3.4060881737455626E-2</v>
      </c>
      <c r="S52" s="631">
        <f t="shared" si="12"/>
        <v>33275</v>
      </c>
      <c r="T52" s="559">
        <f t="shared" si="11"/>
        <v>0</v>
      </c>
    </row>
    <row r="53" spans="1:20" s="607" customFormat="1" ht="11.25">
      <c r="A53" s="577" t="s">
        <v>123</v>
      </c>
      <c r="B53" s="631"/>
      <c r="C53" s="631"/>
      <c r="D53" s="631"/>
      <c r="E53" s="631"/>
      <c r="F53" s="631"/>
      <c r="G53" s="631"/>
      <c r="H53" s="631"/>
      <c r="I53" s="631"/>
      <c r="J53" s="631"/>
      <c r="K53" s="631"/>
      <c r="L53" s="631"/>
      <c r="M53" s="631">
        <v>13895</v>
      </c>
      <c r="N53" s="631">
        <v>885</v>
      </c>
      <c r="O53" s="631">
        <v>5010</v>
      </c>
      <c r="P53" s="631">
        <v>8000</v>
      </c>
      <c r="Q53" s="631">
        <f t="shared" si="9"/>
        <v>31880</v>
      </c>
      <c r="R53" s="637">
        <f t="shared" si="10"/>
        <v>1.5005332823741939E-2</v>
      </c>
      <c r="S53" s="631">
        <f t="shared" si="12"/>
        <v>13895</v>
      </c>
      <c r="T53" s="559">
        <f t="shared" si="11"/>
        <v>0</v>
      </c>
    </row>
    <row r="54" spans="1:20" s="607" customFormat="1" ht="11.25">
      <c r="A54" s="577" t="s">
        <v>125</v>
      </c>
      <c r="B54" s="631"/>
      <c r="C54" s="631"/>
      <c r="D54" s="631"/>
      <c r="E54" s="631"/>
      <c r="F54" s="631"/>
      <c r="G54" s="631"/>
      <c r="H54" s="631"/>
      <c r="I54" s="631"/>
      <c r="J54" s="631"/>
      <c r="K54" s="631"/>
      <c r="L54" s="631"/>
      <c r="M54" s="631">
        <v>18540</v>
      </c>
      <c r="N54" s="631">
        <v>1250</v>
      </c>
      <c r="O54" s="631">
        <v>2290</v>
      </c>
      <c r="P54" s="631">
        <v>15000</v>
      </c>
      <c r="Q54" s="631">
        <f t="shared" si="9"/>
        <v>34370</v>
      </c>
      <c r="R54" s="637">
        <f t="shared" si="10"/>
        <v>1.6177330274529812E-2</v>
      </c>
      <c r="S54" s="631">
        <f t="shared" si="12"/>
        <v>18540</v>
      </c>
      <c r="T54" s="559">
        <f t="shared" si="11"/>
        <v>0</v>
      </c>
    </row>
    <row r="55" spans="1:20" s="607" customFormat="1" ht="11.25">
      <c r="A55" s="577" t="s">
        <v>120</v>
      </c>
      <c r="B55" s="631"/>
      <c r="C55" s="631"/>
      <c r="D55" s="631"/>
      <c r="E55" s="631"/>
      <c r="F55" s="631"/>
      <c r="G55" s="631"/>
      <c r="H55" s="631"/>
      <c r="I55" s="631"/>
      <c r="J55" s="631"/>
      <c r="K55" s="631"/>
      <c r="L55" s="631"/>
      <c r="M55" s="631">
        <v>9720</v>
      </c>
      <c r="N55" s="631">
        <v>525</v>
      </c>
      <c r="O55" s="631">
        <v>2905</v>
      </c>
      <c r="P55" s="631">
        <v>6290</v>
      </c>
      <c r="Q55" s="631">
        <f>(10*N55)+(3*O55)+P55</f>
        <v>20255</v>
      </c>
      <c r="R55" s="637">
        <f t="shared" ref="R55:R56" si="13">SUM(Q55/($Q$45+$Q$57))</f>
        <v>9.5336579781961413E-3</v>
      </c>
      <c r="S55" s="631">
        <f t="shared" ref="S55:S56" si="14">SUM(N55:P55)</f>
        <v>9720</v>
      </c>
      <c r="T55" s="559">
        <f t="shared" si="11"/>
        <v>0</v>
      </c>
    </row>
    <row r="56" spans="1:20" s="607" customFormat="1" ht="11.25">
      <c r="A56" s="577" t="s">
        <v>122</v>
      </c>
      <c r="B56" s="631"/>
      <c r="C56" s="631"/>
      <c r="D56" s="631"/>
      <c r="E56" s="631"/>
      <c r="F56" s="631"/>
      <c r="G56" s="631"/>
      <c r="H56" s="631"/>
      <c r="I56" s="631"/>
      <c r="J56" s="631"/>
      <c r="K56" s="631"/>
      <c r="L56" s="631"/>
      <c r="M56" s="631">
        <v>17495</v>
      </c>
      <c r="N56" s="631">
        <v>875</v>
      </c>
      <c r="O56" s="631">
        <v>3350</v>
      </c>
      <c r="P56" s="631">
        <v>13270</v>
      </c>
      <c r="Q56" s="631">
        <f t="shared" ref="Q56" si="15">(10*N56)+(3*O56)+P56</f>
        <v>32070</v>
      </c>
      <c r="R56" s="637">
        <f t="shared" si="13"/>
        <v>1.5094762348099247E-2</v>
      </c>
      <c r="S56" s="631">
        <f t="shared" si="14"/>
        <v>17495</v>
      </c>
      <c r="T56" s="559">
        <f t="shared" si="11"/>
        <v>0</v>
      </c>
    </row>
    <row r="57" spans="1:20" s="607" customFormat="1" ht="11.25">
      <c r="A57" s="567" t="s">
        <v>332</v>
      </c>
      <c r="B57" s="632"/>
      <c r="C57" s="632"/>
      <c r="D57" s="632"/>
      <c r="E57" s="632"/>
      <c r="F57" s="632"/>
      <c r="G57" s="632"/>
      <c r="H57" s="632"/>
      <c r="I57" s="632"/>
      <c r="J57" s="632"/>
      <c r="K57" s="632"/>
      <c r="L57" s="632"/>
      <c r="M57" s="632">
        <f t="shared" ref="M57:S57" si="16">SUM(M49:M56)</f>
        <v>131220</v>
      </c>
      <c r="N57" s="632">
        <f t="shared" si="16"/>
        <v>7610</v>
      </c>
      <c r="O57" s="632">
        <f t="shared" si="16"/>
        <v>32500</v>
      </c>
      <c r="P57" s="632">
        <f t="shared" si="16"/>
        <v>91110</v>
      </c>
      <c r="Q57" s="632">
        <f t="shared" si="16"/>
        <v>264710</v>
      </c>
      <c r="R57" s="638">
        <f t="shared" si="16"/>
        <v>0.12459415469801531</v>
      </c>
      <c r="S57" s="640">
        <f t="shared" si="16"/>
        <v>131220</v>
      </c>
      <c r="T57" s="640">
        <f t="shared" ref="T57" si="17">SUM(T49:T56)</f>
        <v>0</v>
      </c>
    </row>
    <row r="58" spans="1:20" s="607" customFormat="1" ht="11.25">
      <c r="A58" s="574"/>
      <c r="B58" s="631"/>
      <c r="C58" s="631"/>
      <c r="D58" s="631"/>
      <c r="E58" s="631"/>
      <c r="F58" s="631"/>
      <c r="G58" s="631"/>
      <c r="H58" s="631"/>
      <c r="I58" s="631"/>
      <c r="J58" s="631"/>
      <c r="K58" s="631"/>
      <c r="L58" s="631"/>
      <c r="M58" s="631"/>
      <c r="N58" s="631"/>
      <c r="O58" s="631"/>
      <c r="P58" s="631"/>
      <c r="Q58" s="631"/>
      <c r="R58" s="631"/>
      <c r="S58" s="631"/>
      <c r="T58" s="631"/>
    </row>
    <row r="59" spans="1:20" ht="11.25">
      <c r="A59" s="585" t="s">
        <v>132</v>
      </c>
      <c r="B59" s="633"/>
      <c r="C59" s="633"/>
      <c r="D59" s="634"/>
      <c r="E59" s="633"/>
      <c r="F59" s="633"/>
      <c r="G59" s="633"/>
      <c r="H59" s="633"/>
      <c r="I59" s="633"/>
      <c r="J59" s="633"/>
      <c r="K59" s="633"/>
      <c r="L59" s="633"/>
      <c r="M59" s="633">
        <f t="shared" ref="M59:T59" si="18">SUM(M45,M57)</f>
        <v>1155061</v>
      </c>
      <c r="N59" s="633">
        <f t="shared" si="18"/>
        <v>53174</v>
      </c>
      <c r="O59" s="633">
        <f t="shared" si="18"/>
        <v>245471</v>
      </c>
      <c r="P59" s="633">
        <f t="shared" si="18"/>
        <v>856425</v>
      </c>
      <c r="Q59" s="633">
        <f t="shared" si="18"/>
        <v>2124578</v>
      </c>
      <c r="R59" s="639">
        <f t="shared" si="18"/>
        <v>0.99999999999999989</v>
      </c>
      <c r="S59" s="641">
        <f t="shared" si="18"/>
        <v>1155070</v>
      </c>
      <c r="T59" s="641">
        <f t="shared" si="18"/>
        <v>9</v>
      </c>
    </row>
    <row r="60" spans="1:20" ht="11.25">
      <c r="A60" s="628"/>
    </row>
    <row r="61" spans="1:20" ht="11.25">
      <c r="A61" s="616" t="s">
        <v>327</v>
      </c>
    </row>
    <row r="62" spans="1:20" ht="11.25">
      <c r="A62" s="616" t="s">
        <v>328</v>
      </c>
    </row>
    <row r="63" spans="1:20" ht="11.25">
      <c r="A63" s="616" t="s">
        <v>313</v>
      </c>
    </row>
  </sheetData>
  <autoFilter ref="A4:M4" xr:uid="{00000000-0009-0000-0000-000016000000}">
    <sortState xmlns:xlrd2="http://schemas.microsoft.com/office/spreadsheetml/2017/richdata2" ref="A5:M43">
      <sortCondition ref="A4"/>
    </sortState>
  </autoFilter>
  <hyperlinks>
    <hyperlink ref="A1" location="Index!A1" display="&lt; Back to Contents &gt;" xr:uid="{00000000-0004-0000-1600-000000000000}"/>
    <hyperlink ref="R1" location="'Ave weight 1996-2013'!_FilterDatabase" display="Ave weight 1996-2013" xr:uid="{735AEE50-211F-4E57-A1D8-9D919EACCFC6}"/>
  </hyperlinks>
  <pageMargins left="0.39370078740157483" right="0.31496062992125984" top="0.59055118110236227" bottom="0.39370078740157483" header="0" footer="0"/>
  <pageSetup scale="64" orientation="landscape" r:id="rId1"/>
  <headerFooter alignWithMargins="0"/>
  <ignoredErrors>
    <ignoredError sqref="S49:S56"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51716-FA10-EA44-8D82-731A54F84B9F}">
  <dimension ref="A1:T64"/>
  <sheetViews>
    <sheetView zoomScaleNormal="100" workbookViewId="0">
      <selection activeCell="N46" sqref="N46"/>
    </sheetView>
  </sheetViews>
  <sheetFormatPr defaultColWidth="9.140625" defaultRowHeight="11.25"/>
  <cols>
    <col min="1" max="1" width="25.28515625" style="616" customWidth="1"/>
    <col min="2" max="3" width="9.140625" style="647" customWidth="1"/>
    <col min="4" max="4" width="7.85546875" style="602" customWidth="1"/>
    <col min="5" max="6" width="8.42578125" style="647" customWidth="1"/>
    <col min="7" max="7" width="9.42578125" style="647" customWidth="1"/>
    <col min="8" max="8" width="6.42578125" style="647" customWidth="1"/>
    <col min="9" max="9" width="7.42578125" style="647" customWidth="1"/>
    <col min="10" max="10" width="10.28515625" style="647" customWidth="1"/>
    <col min="11" max="11" width="6.42578125" style="647" customWidth="1"/>
    <col min="12" max="12" width="7.7109375" style="647" customWidth="1"/>
    <col min="13" max="13" width="8.85546875" style="647" bestFit="1" customWidth="1"/>
    <col min="14" max="14" width="7" style="647" bestFit="1" customWidth="1"/>
    <col min="15" max="16" width="6.42578125" style="647" bestFit="1" customWidth="1"/>
    <col min="17" max="20" width="9.28515625" style="647" bestFit="1" customWidth="1"/>
    <col min="21" max="256" width="9.140625" style="647"/>
    <col min="257" max="257" width="64.85546875" style="647" customWidth="1"/>
    <col min="258" max="260" width="11.28515625" style="647" customWidth="1"/>
    <col min="261" max="261" width="10.28515625" style="647" customWidth="1"/>
    <col min="262" max="262" width="11.140625" style="647" customWidth="1"/>
    <col min="263" max="263" width="11.7109375" style="647" customWidth="1"/>
    <col min="264" max="264" width="9.140625" style="647"/>
    <col min="265" max="265" width="9" style="647" customWidth="1"/>
    <col min="266" max="266" width="13.42578125" style="647" customWidth="1"/>
    <col min="267" max="267" width="8.140625" style="647" customWidth="1"/>
    <col min="268" max="269" width="9.42578125" style="647" customWidth="1"/>
    <col min="270" max="512" width="9.140625" style="647"/>
    <col min="513" max="513" width="64.85546875" style="647" customWidth="1"/>
    <col min="514" max="516" width="11.28515625" style="647" customWidth="1"/>
    <col min="517" max="517" width="10.28515625" style="647" customWidth="1"/>
    <col min="518" max="518" width="11.140625" style="647" customWidth="1"/>
    <col min="519" max="519" width="11.7109375" style="647" customWidth="1"/>
    <col min="520" max="520" width="9.140625" style="647"/>
    <col min="521" max="521" width="9" style="647" customWidth="1"/>
    <col min="522" max="522" width="13.42578125" style="647" customWidth="1"/>
    <col min="523" max="523" width="8.140625" style="647" customWidth="1"/>
    <col min="524" max="525" width="9.42578125" style="647" customWidth="1"/>
    <col min="526" max="768" width="9.140625" style="647"/>
    <col min="769" max="769" width="64.85546875" style="647" customWidth="1"/>
    <col min="770" max="772" width="11.28515625" style="647" customWidth="1"/>
    <col min="773" max="773" width="10.28515625" style="647" customWidth="1"/>
    <col min="774" max="774" width="11.140625" style="647" customWidth="1"/>
    <col min="775" max="775" width="11.7109375" style="647" customWidth="1"/>
    <col min="776" max="776" width="9.140625" style="647"/>
    <col min="777" max="777" width="9" style="647" customWidth="1"/>
    <col min="778" max="778" width="13.42578125" style="647" customWidth="1"/>
    <col min="779" max="779" width="8.140625" style="647" customWidth="1"/>
    <col min="780" max="781" width="9.42578125" style="647" customWidth="1"/>
    <col min="782" max="1024" width="9.140625" style="647"/>
    <col min="1025" max="1025" width="64.85546875" style="647" customWidth="1"/>
    <col min="1026" max="1028" width="11.28515625" style="647" customWidth="1"/>
    <col min="1029" max="1029" width="10.28515625" style="647" customWidth="1"/>
    <col min="1030" max="1030" width="11.140625" style="647" customWidth="1"/>
    <col min="1031" max="1031" width="11.7109375" style="647" customWidth="1"/>
    <col min="1032" max="1032" width="9.140625" style="647"/>
    <col min="1033" max="1033" width="9" style="647" customWidth="1"/>
    <col min="1034" max="1034" width="13.42578125" style="647" customWidth="1"/>
    <col min="1035" max="1035" width="8.140625" style="647" customWidth="1"/>
    <col min="1036" max="1037" width="9.42578125" style="647" customWidth="1"/>
    <col min="1038" max="1280" width="9.140625" style="647"/>
    <col min="1281" max="1281" width="64.85546875" style="647" customWidth="1"/>
    <col min="1282" max="1284" width="11.28515625" style="647" customWidth="1"/>
    <col min="1285" max="1285" width="10.28515625" style="647" customWidth="1"/>
    <col min="1286" max="1286" width="11.140625" style="647" customWidth="1"/>
    <col min="1287" max="1287" width="11.7109375" style="647" customWidth="1"/>
    <col min="1288" max="1288" width="9.140625" style="647"/>
    <col min="1289" max="1289" width="9" style="647" customWidth="1"/>
    <col min="1290" max="1290" width="13.42578125" style="647" customWidth="1"/>
    <col min="1291" max="1291" width="8.140625" style="647" customWidth="1"/>
    <col min="1292" max="1293" width="9.42578125" style="647" customWidth="1"/>
    <col min="1294" max="1536" width="9.140625" style="647"/>
    <col min="1537" max="1537" width="64.85546875" style="647" customWidth="1"/>
    <col min="1538" max="1540" width="11.28515625" style="647" customWidth="1"/>
    <col min="1541" max="1541" width="10.28515625" style="647" customWidth="1"/>
    <col min="1542" max="1542" width="11.140625" style="647" customWidth="1"/>
    <col min="1543" max="1543" width="11.7109375" style="647" customWidth="1"/>
    <col min="1544" max="1544" width="9.140625" style="647"/>
    <col min="1545" max="1545" width="9" style="647" customWidth="1"/>
    <col min="1546" max="1546" width="13.42578125" style="647" customWidth="1"/>
    <col min="1547" max="1547" width="8.140625" style="647" customWidth="1"/>
    <col min="1548" max="1549" width="9.42578125" style="647" customWidth="1"/>
    <col min="1550" max="1792" width="9.140625" style="647"/>
    <col min="1793" max="1793" width="64.85546875" style="647" customWidth="1"/>
    <col min="1794" max="1796" width="11.28515625" style="647" customWidth="1"/>
    <col min="1797" max="1797" width="10.28515625" style="647" customWidth="1"/>
    <col min="1798" max="1798" width="11.140625" style="647" customWidth="1"/>
    <col min="1799" max="1799" width="11.7109375" style="647" customWidth="1"/>
    <col min="1800" max="1800" width="9.140625" style="647"/>
    <col min="1801" max="1801" width="9" style="647" customWidth="1"/>
    <col min="1802" max="1802" width="13.42578125" style="647" customWidth="1"/>
    <col min="1803" max="1803" width="8.140625" style="647" customWidth="1"/>
    <col min="1804" max="1805" width="9.42578125" style="647" customWidth="1"/>
    <col min="1806" max="2048" width="9.140625" style="647"/>
    <col min="2049" max="2049" width="64.85546875" style="647" customWidth="1"/>
    <col min="2050" max="2052" width="11.28515625" style="647" customWidth="1"/>
    <col min="2053" max="2053" width="10.28515625" style="647" customWidth="1"/>
    <col min="2054" max="2054" width="11.140625" style="647" customWidth="1"/>
    <col min="2055" max="2055" width="11.7109375" style="647" customWidth="1"/>
    <col min="2056" max="2056" width="9.140625" style="647"/>
    <col min="2057" max="2057" width="9" style="647" customWidth="1"/>
    <col min="2058" max="2058" width="13.42578125" style="647" customWidth="1"/>
    <col min="2059" max="2059" width="8.140625" style="647" customWidth="1"/>
    <col min="2060" max="2061" width="9.42578125" style="647" customWidth="1"/>
    <col min="2062" max="2304" width="9.140625" style="647"/>
    <col min="2305" max="2305" width="64.85546875" style="647" customWidth="1"/>
    <col min="2306" max="2308" width="11.28515625" style="647" customWidth="1"/>
    <col min="2309" max="2309" width="10.28515625" style="647" customWidth="1"/>
    <col min="2310" max="2310" width="11.140625" style="647" customWidth="1"/>
    <col min="2311" max="2311" width="11.7109375" style="647" customWidth="1"/>
    <col min="2312" max="2312" width="9.140625" style="647"/>
    <col min="2313" max="2313" width="9" style="647" customWidth="1"/>
    <col min="2314" max="2314" width="13.42578125" style="647" customWidth="1"/>
    <col min="2315" max="2315" width="8.140625" style="647" customWidth="1"/>
    <col min="2316" max="2317" width="9.42578125" style="647" customWidth="1"/>
    <col min="2318" max="2560" width="9.140625" style="647"/>
    <col min="2561" max="2561" width="64.85546875" style="647" customWidth="1"/>
    <col min="2562" max="2564" width="11.28515625" style="647" customWidth="1"/>
    <col min="2565" max="2565" width="10.28515625" style="647" customWidth="1"/>
    <col min="2566" max="2566" width="11.140625" style="647" customWidth="1"/>
    <col min="2567" max="2567" width="11.7109375" style="647" customWidth="1"/>
    <col min="2568" max="2568" width="9.140625" style="647"/>
    <col min="2569" max="2569" width="9" style="647" customWidth="1"/>
    <col min="2570" max="2570" width="13.42578125" style="647" customWidth="1"/>
    <col min="2571" max="2571" width="8.140625" style="647" customWidth="1"/>
    <col min="2572" max="2573" width="9.42578125" style="647" customWidth="1"/>
    <col min="2574" max="2816" width="9.140625" style="647"/>
    <col min="2817" max="2817" width="64.85546875" style="647" customWidth="1"/>
    <col min="2818" max="2820" width="11.28515625" style="647" customWidth="1"/>
    <col min="2821" max="2821" width="10.28515625" style="647" customWidth="1"/>
    <col min="2822" max="2822" width="11.140625" style="647" customWidth="1"/>
    <col min="2823" max="2823" width="11.7109375" style="647" customWidth="1"/>
    <col min="2824" max="2824" width="9.140625" style="647"/>
    <col min="2825" max="2825" width="9" style="647" customWidth="1"/>
    <col min="2826" max="2826" width="13.42578125" style="647" customWidth="1"/>
    <col min="2827" max="2827" width="8.140625" style="647" customWidth="1"/>
    <col min="2828" max="2829" width="9.42578125" style="647" customWidth="1"/>
    <col min="2830" max="3072" width="9.140625" style="647"/>
    <col min="3073" max="3073" width="64.85546875" style="647" customWidth="1"/>
    <col min="3074" max="3076" width="11.28515625" style="647" customWidth="1"/>
    <col min="3077" max="3077" width="10.28515625" style="647" customWidth="1"/>
    <col min="3078" max="3078" width="11.140625" style="647" customWidth="1"/>
    <col min="3079" max="3079" width="11.7109375" style="647" customWidth="1"/>
    <col min="3080" max="3080" width="9.140625" style="647"/>
    <col min="3081" max="3081" width="9" style="647" customWidth="1"/>
    <col min="3082" max="3082" width="13.42578125" style="647" customWidth="1"/>
    <col min="3083" max="3083" width="8.140625" style="647" customWidth="1"/>
    <col min="3084" max="3085" width="9.42578125" style="647" customWidth="1"/>
    <col min="3086" max="3328" width="9.140625" style="647"/>
    <col min="3329" max="3329" width="64.85546875" style="647" customWidth="1"/>
    <col min="3330" max="3332" width="11.28515625" style="647" customWidth="1"/>
    <col min="3333" max="3333" width="10.28515625" style="647" customWidth="1"/>
    <col min="3334" max="3334" width="11.140625" style="647" customWidth="1"/>
    <col min="3335" max="3335" width="11.7109375" style="647" customWidth="1"/>
    <col min="3336" max="3336" width="9.140625" style="647"/>
    <col min="3337" max="3337" width="9" style="647" customWidth="1"/>
    <col min="3338" max="3338" width="13.42578125" style="647" customWidth="1"/>
    <col min="3339" max="3339" width="8.140625" style="647" customWidth="1"/>
    <col min="3340" max="3341" width="9.42578125" style="647" customWidth="1"/>
    <col min="3342" max="3584" width="9.140625" style="647"/>
    <col min="3585" max="3585" width="64.85546875" style="647" customWidth="1"/>
    <col min="3586" max="3588" width="11.28515625" style="647" customWidth="1"/>
    <col min="3589" max="3589" width="10.28515625" style="647" customWidth="1"/>
    <col min="3590" max="3590" width="11.140625" style="647" customWidth="1"/>
    <col min="3591" max="3591" width="11.7109375" style="647" customWidth="1"/>
    <col min="3592" max="3592" width="9.140625" style="647"/>
    <col min="3593" max="3593" width="9" style="647" customWidth="1"/>
    <col min="3594" max="3594" width="13.42578125" style="647" customWidth="1"/>
    <col min="3595" max="3595" width="8.140625" style="647" customWidth="1"/>
    <col min="3596" max="3597" width="9.42578125" style="647" customWidth="1"/>
    <col min="3598" max="3840" width="9.140625" style="647"/>
    <col min="3841" max="3841" width="64.85546875" style="647" customWidth="1"/>
    <col min="3842" max="3844" width="11.28515625" style="647" customWidth="1"/>
    <col min="3845" max="3845" width="10.28515625" style="647" customWidth="1"/>
    <col min="3846" max="3846" width="11.140625" style="647" customWidth="1"/>
    <col min="3847" max="3847" width="11.7109375" style="647" customWidth="1"/>
    <col min="3848" max="3848" width="9.140625" style="647"/>
    <col min="3849" max="3849" width="9" style="647" customWidth="1"/>
    <col min="3850" max="3850" width="13.42578125" style="647" customWidth="1"/>
    <col min="3851" max="3851" width="8.140625" style="647" customWidth="1"/>
    <col min="3852" max="3853" width="9.42578125" style="647" customWidth="1"/>
    <col min="3854" max="4096" width="9.140625" style="647"/>
    <col min="4097" max="4097" width="64.85546875" style="647" customWidth="1"/>
    <col min="4098" max="4100" width="11.28515625" style="647" customWidth="1"/>
    <col min="4101" max="4101" width="10.28515625" style="647" customWidth="1"/>
    <col min="4102" max="4102" width="11.140625" style="647" customWidth="1"/>
    <col min="4103" max="4103" width="11.7109375" style="647" customWidth="1"/>
    <col min="4104" max="4104" width="9.140625" style="647"/>
    <col min="4105" max="4105" width="9" style="647" customWidth="1"/>
    <col min="4106" max="4106" width="13.42578125" style="647" customWidth="1"/>
    <col min="4107" max="4107" width="8.140625" style="647" customWidth="1"/>
    <col min="4108" max="4109" width="9.42578125" style="647" customWidth="1"/>
    <col min="4110" max="4352" width="9.140625" style="647"/>
    <col min="4353" max="4353" width="64.85546875" style="647" customWidth="1"/>
    <col min="4354" max="4356" width="11.28515625" style="647" customWidth="1"/>
    <col min="4357" max="4357" width="10.28515625" style="647" customWidth="1"/>
    <col min="4358" max="4358" width="11.140625" style="647" customWidth="1"/>
    <col min="4359" max="4359" width="11.7109375" style="647" customWidth="1"/>
    <col min="4360" max="4360" width="9.140625" style="647"/>
    <col min="4361" max="4361" width="9" style="647" customWidth="1"/>
    <col min="4362" max="4362" width="13.42578125" style="647" customWidth="1"/>
    <col min="4363" max="4363" width="8.140625" style="647" customWidth="1"/>
    <col min="4364" max="4365" width="9.42578125" style="647" customWidth="1"/>
    <col min="4366" max="4608" width="9.140625" style="647"/>
    <col min="4609" max="4609" width="64.85546875" style="647" customWidth="1"/>
    <col min="4610" max="4612" width="11.28515625" style="647" customWidth="1"/>
    <col min="4613" max="4613" width="10.28515625" style="647" customWidth="1"/>
    <col min="4614" max="4614" width="11.140625" style="647" customWidth="1"/>
    <col min="4615" max="4615" width="11.7109375" style="647" customWidth="1"/>
    <col min="4616" max="4616" width="9.140625" style="647"/>
    <col min="4617" max="4617" width="9" style="647" customWidth="1"/>
    <col min="4618" max="4618" width="13.42578125" style="647" customWidth="1"/>
    <col min="4619" max="4619" width="8.140625" style="647" customWidth="1"/>
    <col min="4620" max="4621" width="9.42578125" style="647" customWidth="1"/>
    <col min="4622" max="4864" width="9.140625" style="647"/>
    <col min="4865" max="4865" width="64.85546875" style="647" customWidth="1"/>
    <col min="4866" max="4868" width="11.28515625" style="647" customWidth="1"/>
    <col min="4869" max="4869" width="10.28515625" style="647" customWidth="1"/>
    <col min="4870" max="4870" width="11.140625" style="647" customWidth="1"/>
    <col min="4871" max="4871" width="11.7109375" style="647" customWidth="1"/>
    <col min="4872" max="4872" width="9.140625" style="647"/>
    <col min="4873" max="4873" width="9" style="647" customWidth="1"/>
    <col min="4874" max="4874" width="13.42578125" style="647" customWidth="1"/>
    <col min="4875" max="4875" width="8.140625" style="647" customWidth="1"/>
    <col min="4876" max="4877" width="9.42578125" style="647" customWidth="1"/>
    <col min="4878" max="5120" width="9.140625" style="647"/>
    <col min="5121" max="5121" width="64.85546875" style="647" customWidth="1"/>
    <col min="5122" max="5124" width="11.28515625" style="647" customWidth="1"/>
    <col min="5125" max="5125" width="10.28515625" style="647" customWidth="1"/>
    <col min="5126" max="5126" width="11.140625" style="647" customWidth="1"/>
    <col min="5127" max="5127" width="11.7109375" style="647" customWidth="1"/>
    <col min="5128" max="5128" width="9.140625" style="647"/>
    <col min="5129" max="5129" width="9" style="647" customWidth="1"/>
    <col min="5130" max="5130" width="13.42578125" style="647" customWidth="1"/>
    <col min="5131" max="5131" width="8.140625" style="647" customWidth="1"/>
    <col min="5132" max="5133" width="9.42578125" style="647" customWidth="1"/>
    <col min="5134" max="5376" width="9.140625" style="647"/>
    <col min="5377" max="5377" width="64.85546875" style="647" customWidth="1"/>
    <col min="5378" max="5380" width="11.28515625" style="647" customWidth="1"/>
    <col min="5381" max="5381" width="10.28515625" style="647" customWidth="1"/>
    <col min="5382" max="5382" width="11.140625" style="647" customWidth="1"/>
    <col min="5383" max="5383" width="11.7109375" style="647" customWidth="1"/>
    <col min="5384" max="5384" width="9.140625" style="647"/>
    <col min="5385" max="5385" width="9" style="647" customWidth="1"/>
    <col min="5386" max="5386" width="13.42578125" style="647" customWidth="1"/>
    <col min="5387" max="5387" width="8.140625" style="647" customWidth="1"/>
    <col min="5388" max="5389" width="9.42578125" style="647" customWidth="1"/>
    <col min="5390" max="5632" width="9.140625" style="647"/>
    <col min="5633" max="5633" width="64.85546875" style="647" customWidth="1"/>
    <col min="5634" max="5636" width="11.28515625" style="647" customWidth="1"/>
    <col min="5637" max="5637" width="10.28515625" style="647" customWidth="1"/>
    <col min="5638" max="5638" width="11.140625" style="647" customWidth="1"/>
    <col min="5639" max="5639" width="11.7109375" style="647" customWidth="1"/>
    <col min="5640" max="5640" width="9.140625" style="647"/>
    <col min="5641" max="5641" width="9" style="647" customWidth="1"/>
    <col min="5642" max="5642" width="13.42578125" style="647" customWidth="1"/>
    <col min="5643" max="5643" width="8.140625" style="647" customWidth="1"/>
    <col min="5644" max="5645" width="9.42578125" style="647" customWidth="1"/>
    <col min="5646" max="5888" width="9.140625" style="647"/>
    <col min="5889" max="5889" width="64.85546875" style="647" customWidth="1"/>
    <col min="5890" max="5892" width="11.28515625" style="647" customWidth="1"/>
    <col min="5893" max="5893" width="10.28515625" style="647" customWidth="1"/>
    <col min="5894" max="5894" width="11.140625" style="647" customWidth="1"/>
    <col min="5895" max="5895" width="11.7109375" style="647" customWidth="1"/>
    <col min="5896" max="5896" width="9.140625" style="647"/>
    <col min="5897" max="5897" width="9" style="647" customWidth="1"/>
    <col min="5898" max="5898" width="13.42578125" style="647" customWidth="1"/>
    <col min="5899" max="5899" width="8.140625" style="647" customWidth="1"/>
    <col min="5900" max="5901" width="9.42578125" style="647" customWidth="1"/>
    <col min="5902" max="6144" width="9.140625" style="647"/>
    <col min="6145" max="6145" width="64.85546875" style="647" customWidth="1"/>
    <col min="6146" max="6148" width="11.28515625" style="647" customWidth="1"/>
    <col min="6149" max="6149" width="10.28515625" style="647" customWidth="1"/>
    <col min="6150" max="6150" width="11.140625" style="647" customWidth="1"/>
    <col min="6151" max="6151" width="11.7109375" style="647" customWidth="1"/>
    <col min="6152" max="6152" width="9.140625" style="647"/>
    <col min="6153" max="6153" width="9" style="647" customWidth="1"/>
    <col min="6154" max="6154" width="13.42578125" style="647" customWidth="1"/>
    <col min="6155" max="6155" width="8.140625" style="647" customWidth="1"/>
    <col min="6156" max="6157" width="9.42578125" style="647" customWidth="1"/>
    <col min="6158" max="6400" width="9.140625" style="647"/>
    <col min="6401" max="6401" width="64.85546875" style="647" customWidth="1"/>
    <col min="6402" max="6404" width="11.28515625" style="647" customWidth="1"/>
    <col min="6405" max="6405" width="10.28515625" style="647" customWidth="1"/>
    <col min="6406" max="6406" width="11.140625" style="647" customWidth="1"/>
    <col min="6407" max="6407" width="11.7109375" style="647" customWidth="1"/>
    <col min="6408" max="6408" width="9.140625" style="647"/>
    <col min="6409" max="6409" width="9" style="647" customWidth="1"/>
    <col min="6410" max="6410" width="13.42578125" style="647" customWidth="1"/>
    <col min="6411" max="6411" width="8.140625" style="647" customWidth="1"/>
    <col min="6412" max="6413" width="9.42578125" style="647" customWidth="1"/>
    <col min="6414" max="6656" width="9.140625" style="647"/>
    <col min="6657" max="6657" width="64.85546875" style="647" customWidth="1"/>
    <col min="6658" max="6660" width="11.28515625" style="647" customWidth="1"/>
    <col min="6661" max="6661" width="10.28515625" style="647" customWidth="1"/>
    <col min="6662" max="6662" width="11.140625" style="647" customWidth="1"/>
    <col min="6663" max="6663" width="11.7109375" style="647" customWidth="1"/>
    <col min="6664" max="6664" width="9.140625" style="647"/>
    <col min="6665" max="6665" width="9" style="647" customWidth="1"/>
    <col min="6666" max="6666" width="13.42578125" style="647" customWidth="1"/>
    <col min="6667" max="6667" width="8.140625" style="647" customWidth="1"/>
    <col min="6668" max="6669" width="9.42578125" style="647" customWidth="1"/>
    <col min="6670" max="6912" width="9.140625" style="647"/>
    <col min="6913" max="6913" width="64.85546875" style="647" customWidth="1"/>
    <col min="6914" max="6916" width="11.28515625" style="647" customWidth="1"/>
    <col min="6917" max="6917" width="10.28515625" style="647" customWidth="1"/>
    <col min="6918" max="6918" width="11.140625" style="647" customWidth="1"/>
    <col min="6919" max="6919" width="11.7109375" style="647" customWidth="1"/>
    <col min="6920" max="6920" width="9.140625" style="647"/>
    <col min="6921" max="6921" width="9" style="647" customWidth="1"/>
    <col min="6922" max="6922" width="13.42578125" style="647" customWidth="1"/>
    <col min="6923" max="6923" width="8.140625" style="647" customWidth="1"/>
    <col min="6924" max="6925" width="9.42578125" style="647" customWidth="1"/>
    <col min="6926" max="7168" width="9.140625" style="647"/>
    <col min="7169" max="7169" width="64.85546875" style="647" customWidth="1"/>
    <col min="7170" max="7172" width="11.28515625" style="647" customWidth="1"/>
    <col min="7173" max="7173" width="10.28515625" style="647" customWidth="1"/>
    <col min="7174" max="7174" width="11.140625" style="647" customWidth="1"/>
    <col min="7175" max="7175" width="11.7109375" style="647" customWidth="1"/>
    <col min="7176" max="7176" width="9.140625" style="647"/>
    <col min="7177" max="7177" width="9" style="647" customWidth="1"/>
    <col min="7178" max="7178" width="13.42578125" style="647" customWidth="1"/>
    <col min="7179" max="7179" width="8.140625" style="647" customWidth="1"/>
    <col min="7180" max="7181" width="9.42578125" style="647" customWidth="1"/>
    <col min="7182" max="7424" width="9.140625" style="647"/>
    <col min="7425" max="7425" width="64.85546875" style="647" customWidth="1"/>
    <col min="7426" max="7428" width="11.28515625" style="647" customWidth="1"/>
    <col min="7429" max="7429" width="10.28515625" style="647" customWidth="1"/>
    <col min="7430" max="7430" width="11.140625" style="647" customWidth="1"/>
    <col min="7431" max="7431" width="11.7109375" style="647" customWidth="1"/>
    <col min="7432" max="7432" width="9.140625" style="647"/>
    <col min="7433" max="7433" width="9" style="647" customWidth="1"/>
    <col min="7434" max="7434" width="13.42578125" style="647" customWidth="1"/>
    <col min="7435" max="7435" width="8.140625" style="647" customWidth="1"/>
    <col min="7436" max="7437" width="9.42578125" style="647" customWidth="1"/>
    <col min="7438" max="7680" width="9.140625" style="647"/>
    <col min="7681" max="7681" width="64.85546875" style="647" customWidth="1"/>
    <col min="7682" max="7684" width="11.28515625" style="647" customWidth="1"/>
    <col min="7685" max="7685" width="10.28515625" style="647" customWidth="1"/>
    <col min="7686" max="7686" width="11.140625" style="647" customWidth="1"/>
    <col min="7687" max="7687" width="11.7109375" style="647" customWidth="1"/>
    <col min="7688" max="7688" width="9.140625" style="647"/>
    <col min="7689" max="7689" width="9" style="647" customWidth="1"/>
    <col min="7690" max="7690" width="13.42578125" style="647" customWidth="1"/>
    <col min="7691" max="7691" width="8.140625" style="647" customWidth="1"/>
    <col min="7692" max="7693" width="9.42578125" style="647" customWidth="1"/>
    <col min="7694" max="7936" width="9.140625" style="647"/>
    <col min="7937" max="7937" width="64.85546875" style="647" customWidth="1"/>
    <col min="7938" max="7940" width="11.28515625" style="647" customWidth="1"/>
    <col min="7941" max="7941" width="10.28515625" style="647" customWidth="1"/>
    <col min="7942" max="7942" width="11.140625" style="647" customWidth="1"/>
    <col min="7943" max="7943" width="11.7109375" style="647" customWidth="1"/>
    <col min="7944" max="7944" width="9.140625" style="647"/>
    <col min="7945" max="7945" width="9" style="647" customWidth="1"/>
    <col min="7946" max="7946" width="13.42578125" style="647" customWidth="1"/>
    <col min="7947" max="7947" width="8.140625" style="647" customWidth="1"/>
    <col min="7948" max="7949" width="9.42578125" style="647" customWidth="1"/>
    <col min="7950" max="8192" width="9.140625" style="647"/>
    <col min="8193" max="8193" width="64.85546875" style="647" customWidth="1"/>
    <col min="8194" max="8196" width="11.28515625" style="647" customWidth="1"/>
    <col min="8197" max="8197" width="10.28515625" style="647" customWidth="1"/>
    <col min="8198" max="8198" width="11.140625" style="647" customWidth="1"/>
    <col min="8199" max="8199" width="11.7109375" style="647" customWidth="1"/>
    <col min="8200" max="8200" width="9.140625" style="647"/>
    <col min="8201" max="8201" width="9" style="647" customWidth="1"/>
    <col min="8202" max="8202" width="13.42578125" style="647" customWidth="1"/>
    <col min="8203" max="8203" width="8.140625" style="647" customWidth="1"/>
    <col min="8204" max="8205" width="9.42578125" style="647" customWidth="1"/>
    <col min="8206" max="8448" width="9.140625" style="647"/>
    <col min="8449" max="8449" width="64.85546875" style="647" customWidth="1"/>
    <col min="8450" max="8452" width="11.28515625" style="647" customWidth="1"/>
    <col min="8453" max="8453" width="10.28515625" style="647" customWidth="1"/>
    <col min="8454" max="8454" width="11.140625" style="647" customWidth="1"/>
    <col min="8455" max="8455" width="11.7109375" style="647" customWidth="1"/>
    <col min="8456" max="8456" width="9.140625" style="647"/>
    <col min="8457" max="8457" width="9" style="647" customWidth="1"/>
    <col min="8458" max="8458" width="13.42578125" style="647" customWidth="1"/>
    <col min="8459" max="8459" width="8.140625" style="647" customWidth="1"/>
    <col min="8460" max="8461" width="9.42578125" style="647" customWidth="1"/>
    <col min="8462" max="8704" width="9.140625" style="647"/>
    <col min="8705" max="8705" width="64.85546875" style="647" customWidth="1"/>
    <col min="8706" max="8708" width="11.28515625" style="647" customWidth="1"/>
    <col min="8709" max="8709" width="10.28515625" style="647" customWidth="1"/>
    <col min="8710" max="8710" width="11.140625" style="647" customWidth="1"/>
    <col min="8711" max="8711" width="11.7109375" style="647" customWidth="1"/>
    <col min="8712" max="8712" width="9.140625" style="647"/>
    <col min="8713" max="8713" width="9" style="647" customWidth="1"/>
    <col min="8714" max="8714" width="13.42578125" style="647" customWidth="1"/>
    <col min="8715" max="8715" width="8.140625" style="647" customWidth="1"/>
    <col min="8716" max="8717" width="9.42578125" style="647" customWidth="1"/>
    <col min="8718" max="8960" width="9.140625" style="647"/>
    <col min="8961" max="8961" width="64.85546875" style="647" customWidth="1"/>
    <col min="8962" max="8964" width="11.28515625" style="647" customWidth="1"/>
    <col min="8965" max="8965" width="10.28515625" style="647" customWidth="1"/>
    <col min="8966" max="8966" width="11.140625" style="647" customWidth="1"/>
    <col min="8967" max="8967" width="11.7109375" style="647" customWidth="1"/>
    <col min="8968" max="8968" width="9.140625" style="647"/>
    <col min="8969" max="8969" width="9" style="647" customWidth="1"/>
    <col min="8970" max="8970" width="13.42578125" style="647" customWidth="1"/>
    <col min="8971" max="8971" width="8.140625" style="647" customWidth="1"/>
    <col min="8972" max="8973" width="9.42578125" style="647" customWidth="1"/>
    <col min="8974" max="9216" width="9.140625" style="647"/>
    <col min="9217" max="9217" width="64.85546875" style="647" customWidth="1"/>
    <col min="9218" max="9220" width="11.28515625" style="647" customWidth="1"/>
    <col min="9221" max="9221" width="10.28515625" style="647" customWidth="1"/>
    <col min="9222" max="9222" width="11.140625" style="647" customWidth="1"/>
    <col min="9223" max="9223" width="11.7109375" style="647" customWidth="1"/>
    <col min="9224" max="9224" width="9.140625" style="647"/>
    <col min="9225" max="9225" width="9" style="647" customWidth="1"/>
    <col min="9226" max="9226" width="13.42578125" style="647" customWidth="1"/>
    <col min="9227" max="9227" width="8.140625" style="647" customWidth="1"/>
    <col min="9228" max="9229" width="9.42578125" style="647" customWidth="1"/>
    <col min="9230" max="9472" width="9.140625" style="647"/>
    <col min="9473" max="9473" width="64.85546875" style="647" customWidth="1"/>
    <col min="9474" max="9476" width="11.28515625" style="647" customWidth="1"/>
    <col min="9477" max="9477" width="10.28515625" style="647" customWidth="1"/>
    <col min="9478" max="9478" width="11.140625" style="647" customWidth="1"/>
    <col min="9479" max="9479" width="11.7109375" style="647" customWidth="1"/>
    <col min="9480" max="9480" width="9.140625" style="647"/>
    <col min="9481" max="9481" width="9" style="647" customWidth="1"/>
    <col min="9482" max="9482" width="13.42578125" style="647" customWidth="1"/>
    <col min="9483" max="9483" width="8.140625" style="647" customWidth="1"/>
    <col min="9484" max="9485" width="9.42578125" style="647" customWidth="1"/>
    <col min="9486" max="9728" width="9.140625" style="647"/>
    <col min="9729" max="9729" width="64.85546875" style="647" customWidth="1"/>
    <col min="9730" max="9732" width="11.28515625" style="647" customWidth="1"/>
    <col min="9733" max="9733" width="10.28515625" style="647" customWidth="1"/>
    <col min="9734" max="9734" width="11.140625" style="647" customWidth="1"/>
    <col min="9735" max="9735" width="11.7109375" style="647" customWidth="1"/>
    <col min="9736" max="9736" width="9.140625" style="647"/>
    <col min="9737" max="9737" width="9" style="647" customWidth="1"/>
    <col min="9738" max="9738" width="13.42578125" style="647" customWidth="1"/>
    <col min="9739" max="9739" width="8.140625" style="647" customWidth="1"/>
    <col min="9740" max="9741" width="9.42578125" style="647" customWidth="1"/>
    <col min="9742" max="9984" width="9.140625" style="647"/>
    <col min="9985" max="9985" width="64.85546875" style="647" customWidth="1"/>
    <col min="9986" max="9988" width="11.28515625" style="647" customWidth="1"/>
    <col min="9989" max="9989" width="10.28515625" style="647" customWidth="1"/>
    <col min="9990" max="9990" width="11.140625" style="647" customWidth="1"/>
    <col min="9991" max="9991" width="11.7109375" style="647" customWidth="1"/>
    <col min="9992" max="9992" width="9.140625" style="647"/>
    <col min="9993" max="9993" width="9" style="647" customWidth="1"/>
    <col min="9994" max="9994" width="13.42578125" style="647" customWidth="1"/>
    <col min="9995" max="9995" width="8.140625" style="647" customWidth="1"/>
    <col min="9996" max="9997" width="9.42578125" style="647" customWidth="1"/>
    <col min="9998" max="10240" width="9.140625" style="647"/>
    <col min="10241" max="10241" width="64.85546875" style="647" customWidth="1"/>
    <col min="10242" max="10244" width="11.28515625" style="647" customWidth="1"/>
    <col min="10245" max="10245" width="10.28515625" style="647" customWidth="1"/>
    <col min="10246" max="10246" width="11.140625" style="647" customWidth="1"/>
    <col min="10247" max="10247" width="11.7109375" style="647" customWidth="1"/>
    <col min="10248" max="10248" width="9.140625" style="647"/>
    <col min="10249" max="10249" width="9" style="647" customWidth="1"/>
    <col min="10250" max="10250" width="13.42578125" style="647" customWidth="1"/>
    <col min="10251" max="10251" width="8.140625" style="647" customWidth="1"/>
    <col min="10252" max="10253" width="9.42578125" style="647" customWidth="1"/>
    <col min="10254" max="10496" width="9.140625" style="647"/>
    <col min="10497" max="10497" width="64.85546875" style="647" customWidth="1"/>
    <col min="10498" max="10500" width="11.28515625" style="647" customWidth="1"/>
    <col min="10501" max="10501" width="10.28515625" style="647" customWidth="1"/>
    <col min="10502" max="10502" width="11.140625" style="647" customWidth="1"/>
    <col min="10503" max="10503" width="11.7109375" style="647" customWidth="1"/>
    <col min="10504" max="10504" width="9.140625" style="647"/>
    <col min="10505" max="10505" width="9" style="647" customWidth="1"/>
    <col min="10506" max="10506" width="13.42578125" style="647" customWidth="1"/>
    <col min="10507" max="10507" width="8.140625" style="647" customWidth="1"/>
    <col min="10508" max="10509" width="9.42578125" style="647" customWidth="1"/>
    <col min="10510" max="10752" width="9.140625" style="647"/>
    <col min="10753" max="10753" width="64.85546875" style="647" customWidth="1"/>
    <col min="10754" max="10756" width="11.28515625" style="647" customWidth="1"/>
    <col min="10757" max="10757" width="10.28515625" style="647" customWidth="1"/>
    <col min="10758" max="10758" width="11.140625" style="647" customWidth="1"/>
    <col min="10759" max="10759" width="11.7109375" style="647" customWidth="1"/>
    <col min="10760" max="10760" width="9.140625" style="647"/>
    <col min="10761" max="10761" width="9" style="647" customWidth="1"/>
    <col min="10762" max="10762" width="13.42578125" style="647" customWidth="1"/>
    <col min="10763" max="10763" width="8.140625" style="647" customWidth="1"/>
    <col min="10764" max="10765" width="9.42578125" style="647" customWidth="1"/>
    <col min="10766" max="11008" width="9.140625" style="647"/>
    <col min="11009" max="11009" width="64.85546875" style="647" customWidth="1"/>
    <col min="11010" max="11012" width="11.28515625" style="647" customWidth="1"/>
    <col min="11013" max="11013" width="10.28515625" style="647" customWidth="1"/>
    <col min="11014" max="11014" width="11.140625" style="647" customWidth="1"/>
    <col min="11015" max="11015" width="11.7109375" style="647" customWidth="1"/>
    <col min="11016" max="11016" width="9.140625" style="647"/>
    <col min="11017" max="11017" width="9" style="647" customWidth="1"/>
    <col min="11018" max="11018" width="13.42578125" style="647" customWidth="1"/>
    <col min="11019" max="11019" width="8.140625" style="647" customWidth="1"/>
    <col min="11020" max="11021" width="9.42578125" style="647" customWidth="1"/>
    <col min="11022" max="11264" width="9.140625" style="647"/>
    <col min="11265" max="11265" width="64.85546875" style="647" customWidth="1"/>
    <col min="11266" max="11268" width="11.28515625" style="647" customWidth="1"/>
    <col min="11269" max="11269" width="10.28515625" style="647" customWidth="1"/>
    <col min="11270" max="11270" width="11.140625" style="647" customWidth="1"/>
    <col min="11271" max="11271" width="11.7109375" style="647" customWidth="1"/>
    <col min="11272" max="11272" width="9.140625" style="647"/>
    <col min="11273" max="11273" width="9" style="647" customWidth="1"/>
    <col min="11274" max="11274" width="13.42578125" style="647" customWidth="1"/>
    <col min="11275" max="11275" width="8.140625" style="647" customWidth="1"/>
    <col min="11276" max="11277" width="9.42578125" style="647" customWidth="1"/>
    <col min="11278" max="11520" width="9.140625" style="647"/>
    <col min="11521" max="11521" width="64.85546875" style="647" customWidth="1"/>
    <col min="11522" max="11524" width="11.28515625" style="647" customWidth="1"/>
    <col min="11525" max="11525" width="10.28515625" style="647" customWidth="1"/>
    <col min="11526" max="11526" width="11.140625" style="647" customWidth="1"/>
    <col min="11527" max="11527" width="11.7109375" style="647" customWidth="1"/>
    <col min="11528" max="11528" width="9.140625" style="647"/>
    <col min="11529" max="11529" width="9" style="647" customWidth="1"/>
    <col min="11530" max="11530" width="13.42578125" style="647" customWidth="1"/>
    <col min="11531" max="11531" width="8.140625" style="647" customWidth="1"/>
    <col min="11532" max="11533" width="9.42578125" style="647" customWidth="1"/>
    <col min="11534" max="11776" width="9.140625" style="647"/>
    <col min="11777" max="11777" width="64.85546875" style="647" customWidth="1"/>
    <col min="11778" max="11780" width="11.28515625" style="647" customWidth="1"/>
    <col min="11781" max="11781" width="10.28515625" style="647" customWidth="1"/>
    <col min="11782" max="11782" width="11.140625" style="647" customWidth="1"/>
    <col min="11783" max="11783" width="11.7109375" style="647" customWidth="1"/>
    <col min="11784" max="11784" width="9.140625" style="647"/>
    <col min="11785" max="11785" width="9" style="647" customWidth="1"/>
    <col min="11786" max="11786" width="13.42578125" style="647" customWidth="1"/>
    <col min="11787" max="11787" width="8.140625" style="647" customWidth="1"/>
    <col min="11788" max="11789" width="9.42578125" style="647" customWidth="1"/>
    <col min="11790" max="12032" width="9.140625" style="647"/>
    <col min="12033" max="12033" width="64.85546875" style="647" customWidth="1"/>
    <col min="12034" max="12036" width="11.28515625" style="647" customWidth="1"/>
    <col min="12037" max="12037" width="10.28515625" style="647" customWidth="1"/>
    <col min="12038" max="12038" width="11.140625" style="647" customWidth="1"/>
    <col min="12039" max="12039" width="11.7109375" style="647" customWidth="1"/>
    <col min="12040" max="12040" width="9.140625" style="647"/>
    <col min="12041" max="12041" width="9" style="647" customWidth="1"/>
    <col min="12042" max="12042" width="13.42578125" style="647" customWidth="1"/>
    <col min="12043" max="12043" width="8.140625" style="647" customWidth="1"/>
    <col min="12044" max="12045" width="9.42578125" style="647" customWidth="1"/>
    <col min="12046" max="12288" width="9.140625" style="647"/>
    <col min="12289" max="12289" width="64.85546875" style="647" customWidth="1"/>
    <col min="12290" max="12292" width="11.28515625" style="647" customWidth="1"/>
    <col min="12293" max="12293" width="10.28515625" style="647" customWidth="1"/>
    <col min="12294" max="12294" width="11.140625" style="647" customWidth="1"/>
    <col min="12295" max="12295" width="11.7109375" style="647" customWidth="1"/>
    <col min="12296" max="12296" width="9.140625" style="647"/>
    <col min="12297" max="12297" width="9" style="647" customWidth="1"/>
    <col min="12298" max="12298" width="13.42578125" style="647" customWidth="1"/>
    <col min="12299" max="12299" width="8.140625" style="647" customWidth="1"/>
    <col min="12300" max="12301" width="9.42578125" style="647" customWidth="1"/>
    <col min="12302" max="12544" width="9.140625" style="647"/>
    <col min="12545" max="12545" width="64.85546875" style="647" customWidth="1"/>
    <col min="12546" max="12548" width="11.28515625" style="647" customWidth="1"/>
    <col min="12549" max="12549" width="10.28515625" style="647" customWidth="1"/>
    <col min="12550" max="12550" width="11.140625" style="647" customWidth="1"/>
    <col min="12551" max="12551" width="11.7109375" style="647" customWidth="1"/>
    <col min="12552" max="12552" width="9.140625" style="647"/>
    <col min="12553" max="12553" width="9" style="647" customWidth="1"/>
    <col min="12554" max="12554" width="13.42578125" style="647" customWidth="1"/>
    <col min="12555" max="12555" width="8.140625" style="647" customWidth="1"/>
    <col min="12556" max="12557" width="9.42578125" style="647" customWidth="1"/>
    <col min="12558" max="12800" width="9.140625" style="647"/>
    <col min="12801" max="12801" width="64.85546875" style="647" customWidth="1"/>
    <col min="12802" max="12804" width="11.28515625" style="647" customWidth="1"/>
    <col min="12805" max="12805" width="10.28515625" style="647" customWidth="1"/>
    <col min="12806" max="12806" width="11.140625" style="647" customWidth="1"/>
    <col min="12807" max="12807" width="11.7109375" style="647" customWidth="1"/>
    <col min="12808" max="12808" width="9.140625" style="647"/>
    <col min="12809" max="12809" width="9" style="647" customWidth="1"/>
    <col min="12810" max="12810" width="13.42578125" style="647" customWidth="1"/>
    <col min="12811" max="12811" width="8.140625" style="647" customWidth="1"/>
    <col min="12812" max="12813" width="9.42578125" style="647" customWidth="1"/>
    <col min="12814" max="13056" width="9.140625" style="647"/>
    <col min="13057" max="13057" width="64.85546875" style="647" customWidth="1"/>
    <col min="13058" max="13060" width="11.28515625" style="647" customWidth="1"/>
    <col min="13061" max="13061" width="10.28515625" style="647" customWidth="1"/>
    <col min="13062" max="13062" width="11.140625" style="647" customWidth="1"/>
    <col min="13063" max="13063" width="11.7109375" style="647" customWidth="1"/>
    <col min="13064" max="13064" width="9.140625" style="647"/>
    <col min="13065" max="13065" width="9" style="647" customWidth="1"/>
    <col min="13066" max="13066" width="13.42578125" style="647" customWidth="1"/>
    <col min="13067" max="13067" width="8.140625" style="647" customWidth="1"/>
    <col min="13068" max="13069" width="9.42578125" style="647" customWidth="1"/>
    <col min="13070" max="13312" width="9.140625" style="647"/>
    <col min="13313" max="13313" width="64.85546875" style="647" customWidth="1"/>
    <col min="13314" max="13316" width="11.28515625" style="647" customWidth="1"/>
    <col min="13317" max="13317" width="10.28515625" style="647" customWidth="1"/>
    <col min="13318" max="13318" width="11.140625" style="647" customWidth="1"/>
    <col min="13319" max="13319" width="11.7109375" style="647" customWidth="1"/>
    <col min="13320" max="13320" width="9.140625" style="647"/>
    <col min="13321" max="13321" width="9" style="647" customWidth="1"/>
    <col min="13322" max="13322" width="13.42578125" style="647" customWidth="1"/>
    <col min="13323" max="13323" width="8.140625" style="647" customWidth="1"/>
    <col min="13324" max="13325" width="9.42578125" style="647" customWidth="1"/>
    <col min="13326" max="13568" width="9.140625" style="647"/>
    <col min="13569" max="13569" width="64.85546875" style="647" customWidth="1"/>
    <col min="13570" max="13572" width="11.28515625" style="647" customWidth="1"/>
    <col min="13573" max="13573" width="10.28515625" style="647" customWidth="1"/>
    <col min="13574" max="13574" width="11.140625" style="647" customWidth="1"/>
    <col min="13575" max="13575" width="11.7109375" style="647" customWidth="1"/>
    <col min="13576" max="13576" width="9.140625" style="647"/>
    <col min="13577" max="13577" width="9" style="647" customWidth="1"/>
    <col min="13578" max="13578" width="13.42578125" style="647" customWidth="1"/>
    <col min="13579" max="13579" width="8.140625" style="647" customWidth="1"/>
    <col min="13580" max="13581" width="9.42578125" style="647" customWidth="1"/>
    <col min="13582" max="13824" width="9.140625" style="647"/>
    <col min="13825" max="13825" width="64.85546875" style="647" customWidth="1"/>
    <col min="13826" max="13828" width="11.28515625" style="647" customWidth="1"/>
    <col min="13829" max="13829" width="10.28515625" style="647" customWidth="1"/>
    <col min="13830" max="13830" width="11.140625" style="647" customWidth="1"/>
    <col min="13831" max="13831" width="11.7109375" style="647" customWidth="1"/>
    <col min="13832" max="13832" width="9.140625" style="647"/>
    <col min="13833" max="13833" width="9" style="647" customWidth="1"/>
    <col min="13834" max="13834" width="13.42578125" style="647" customWidth="1"/>
    <col min="13835" max="13835" width="8.140625" style="647" customWidth="1"/>
    <col min="13836" max="13837" width="9.42578125" style="647" customWidth="1"/>
    <col min="13838" max="14080" width="9.140625" style="647"/>
    <col min="14081" max="14081" width="64.85546875" style="647" customWidth="1"/>
    <col min="14082" max="14084" width="11.28515625" style="647" customWidth="1"/>
    <col min="14085" max="14085" width="10.28515625" style="647" customWidth="1"/>
    <col min="14086" max="14086" width="11.140625" style="647" customWidth="1"/>
    <col min="14087" max="14087" width="11.7109375" style="647" customWidth="1"/>
    <col min="14088" max="14088" width="9.140625" style="647"/>
    <col min="14089" max="14089" width="9" style="647" customWidth="1"/>
    <col min="14090" max="14090" width="13.42578125" style="647" customWidth="1"/>
    <col min="14091" max="14091" width="8.140625" style="647" customWidth="1"/>
    <col min="14092" max="14093" width="9.42578125" style="647" customWidth="1"/>
    <col min="14094" max="14336" width="9.140625" style="647"/>
    <col min="14337" max="14337" width="64.85546875" style="647" customWidth="1"/>
    <col min="14338" max="14340" width="11.28515625" style="647" customWidth="1"/>
    <col min="14341" max="14341" width="10.28515625" style="647" customWidth="1"/>
    <col min="14342" max="14342" width="11.140625" style="647" customWidth="1"/>
    <col min="14343" max="14343" width="11.7109375" style="647" customWidth="1"/>
    <col min="14344" max="14344" width="9.140625" style="647"/>
    <col min="14345" max="14345" width="9" style="647" customWidth="1"/>
    <col min="14346" max="14346" width="13.42578125" style="647" customWidth="1"/>
    <col min="14347" max="14347" width="8.140625" style="647" customWidth="1"/>
    <col min="14348" max="14349" width="9.42578125" style="647" customWidth="1"/>
    <col min="14350" max="14592" width="9.140625" style="647"/>
    <col min="14593" max="14593" width="64.85546875" style="647" customWidth="1"/>
    <col min="14594" max="14596" width="11.28515625" style="647" customWidth="1"/>
    <col min="14597" max="14597" width="10.28515625" style="647" customWidth="1"/>
    <col min="14598" max="14598" width="11.140625" style="647" customWidth="1"/>
    <col min="14599" max="14599" width="11.7109375" style="647" customWidth="1"/>
    <col min="14600" max="14600" width="9.140625" style="647"/>
    <col min="14601" max="14601" width="9" style="647" customWidth="1"/>
    <col min="14602" max="14602" width="13.42578125" style="647" customWidth="1"/>
    <col min="14603" max="14603" width="8.140625" style="647" customWidth="1"/>
    <col min="14604" max="14605" width="9.42578125" style="647" customWidth="1"/>
    <col min="14606" max="14848" width="9.140625" style="647"/>
    <col min="14849" max="14849" width="64.85546875" style="647" customWidth="1"/>
    <col min="14850" max="14852" width="11.28515625" style="647" customWidth="1"/>
    <col min="14853" max="14853" width="10.28515625" style="647" customWidth="1"/>
    <col min="14854" max="14854" width="11.140625" style="647" customWidth="1"/>
    <col min="14855" max="14855" width="11.7109375" style="647" customWidth="1"/>
    <col min="14856" max="14856" width="9.140625" style="647"/>
    <col min="14857" max="14857" width="9" style="647" customWidth="1"/>
    <col min="14858" max="14858" width="13.42578125" style="647" customWidth="1"/>
    <col min="14859" max="14859" width="8.140625" style="647" customWidth="1"/>
    <col min="14860" max="14861" width="9.42578125" style="647" customWidth="1"/>
    <col min="14862" max="15104" width="9.140625" style="647"/>
    <col min="15105" max="15105" width="64.85546875" style="647" customWidth="1"/>
    <col min="15106" max="15108" width="11.28515625" style="647" customWidth="1"/>
    <col min="15109" max="15109" width="10.28515625" style="647" customWidth="1"/>
    <col min="15110" max="15110" width="11.140625" style="647" customWidth="1"/>
    <col min="15111" max="15111" width="11.7109375" style="647" customWidth="1"/>
    <col min="15112" max="15112" width="9.140625" style="647"/>
    <col min="15113" max="15113" width="9" style="647" customWidth="1"/>
    <col min="15114" max="15114" width="13.42578125" style="647" customWidth="1"/>
    <col min="15115" max="15115" width="8.140625" style="647" customWidth="1"/>
    <col min="15116" max="15117" width="9.42578125" style="647" customWidth="1"/>
    <col min="15118" max="15360" width="9.140625" style="647"/>
    <col min="15361" max="15361" width="64.85546875" style="647" customWidth="1"/>
    <col min="15362" max="15364" width="11.28515625" style="647" customWidth="1"/>
    <col min="15365" max="15365" width="10.28515625" style="647" customWidth="1"/>
    <col min="15366" max="15366" width="11.140625" style="647" customWidth="1"/>
    <col min="15367" max="15367" width="11.7109375" style="647" customWidth="1"/>
    <col min="15368" max="15368" width="9.140625" style="647"/>
    <col min="15369" max="15369" width="9" style="647" customWidth="1"/>
    <col min="15370" max="15370" width="13.42578125" style="647" customWidth="1"/>
    <col min="15371" max="15371" width="8.140625" style="647" customWidth="1"/>
    <col min="15372" max="15373" width="9.42578125" style="647" customWidth="1"/>
    <col min="15374" max="15616" width="9.140625" style="647"/>
    <col min="15617" max="15617" width="64.85546875" style="647" customWidth="1"/>
    <col min="15618" max="15620" width="11.28515625" style="647" customWidth="1"/>
    <col min="15621" max="15621" width="10.28515625" style="647" customWidth="1"/>
    <col min="15622" max="15622" width="11.140625" style="647" customWidth="1"/>
    <col min="15623" max="15623" width="11.7109375" style="647" customWidth="1"/>
    <col min="15624" max="15624" width="9.140625" style="647"/>
    <col min="15625" max="15625" width="9" style="647" customWidth="1"/>
    <col min="15626" max="15626" width="13.42578125" style="647" customWidth="1"/>
    <col min="15627" max="15627" width="8.140625" style="647" customWidth="1"/>
    <col min="15628" max="15629" width="9.42578125" style="647" customWidth="1"/>
    <col min="15630" max="15872" width="9.140625" style="647"/>
    <col min="15873" max="15873" width="64.85546875" style="647" customWidth="1"/>
    <col min="15874" max="15876" width="11.28515625" style="647" customWidth="1"/>
    <col min="15877" max="15877" width="10.28515625" style="647" customWidth="1"/>
    <col min="15878" max="15878" width="11.140625" style="647" customWidth="1"/>
    <col min="15879" max="15879" width="11.7109375" style="647" customWidth="1"/>
    <col min="15880" max="15880" width="9.140625" style="647"/>
    <col min="15881" max="15881" width="9" style="647" customWidth="1"/>
    <col min="15882" max="15882" width="13.42578125" style="647" customWidth="1"/>
    <col min="15883" max="15883" width="8.140625" style="647" customWidth="1"/>
    <col min="15884" max="15885" width="9.42578125" style="647" customWidth="1"/>
    <col min="15886" max="16128" width="9.140625" style="647"/>
    <col min="16129" max="16129" width="64.85546875" style="647" customWidth="1"/>
    <col min="16130" max="16132" width="11.28515625" style="647" customWidth="1"/>
    <col min="16133" max="16133" width="10.28515625" style="647" customWidth="1"/>
    <col min="16134" max="16134" width="11.140625" style="647" customWidth="1"/>
    <col min="16135" max="16135" width="11.7109375" style="647" customWidth="1"/>
    <col min="16136" max="16136" width="9.140625" style="647"/>
    <col min="16137" max="16137" width="9" style="647" customWidth="1"/>
    <col min="16138" max="16138" width="13.42578125" style="647" customWidth="1"/>
    <col min="16139" max="16139" width="8.140625" style="647" customWidth="1"/>
    <col min="16140" max="16141" width="9.42578125" style="647" customWidth="1"/>
    <col min="16142" max="16384" width="9.140625" style="647"/>
  </cols>
  <sheetData>
    <row r="1" spans="1:20" ht="12.75">
      <c r="A1" s="187" t="s">
        <v>306</v>
      </c>
      <c r="R1" s="642"/>
      <c r="S1" s="711" t="s">
        <v>351</v>
      </c>
    </row>
    <row r="2" spans="1:20">
      <c r="A2" s="648" t="s">
        <v>345</v>
      </c>
      <c r="B2" s="648"/>
      <c r="C2" s="648"/>
      <c r="D2" s="649"/>
      <c r="E2" s="648"/>
      <c r="F2" s="648"/>
      <c r="G2" s="648"/>
      <c r="H2" s="648"/>
      <c r="I2" s="648"/>
      <c r="J2" s="648"/>
      <c r="K2" s="648"/>
      <c r="L2" s="648"/>
      <c r="M2" s="648"/>
    </row>
    <row r="3" spans="1:20">
      <c r="A3" s="650"/>
      <c r="B3" s="650"/>
      <c r="C3" s="650"/>
      <c r="D3" s="651"/>
      <c r="E3" s="650"/>
      <c r="F3" s="650"/>
      <c r="G3" s="650"/>
      <c r="H3" s="650"/>
      <c r="I3" s="650"/>
      <c r="J3" s="650"/>
      <c r="K3" s="650"/>
      <c r="L3" s="650"/>
      <c r="M3" s="650"/>
    </row>
    <row r="4" spans="1:20" s="652" customFormat="1" ht="45">
      <c r="A4" s="621" t="s">
        <v>255</v>
      </c>
      <c r="B4" s="622" t="s">
        <v>0</v>
      </c>
      <c r="C4" s="622" t="s">
        <v>1</v>
      </c>
      <c r="D4" s="622" t="s">
        <v>224</v>
      </c>
      <c r="E4" s="622" t="s">
        <v>2</v>
      </c>
      <c r="F4" s="622" t="s">
        <v>3</v>
      </c>
      <c r="G4" s="622" t="s">
        <v>4</v>
      </c>
      <c r="H4" s="622" t="s">
        <v>5</v>
      </c>
      <c r="I4" s="622" t="s">
        <v>6</v>
      </c>
      <c r="J4" s="622" t="s">
        <v>7</v>
      </c>
      <c r="K4" s="622" t="s">
        <v>8</v>
      </c>
      <c r="L4" s="622" t="s">
        <v>9</v>
      </c>
      <c r="M4" s="623" t="s">
        <v>10</v>
      </c>
      <c r="N4" s="625" t="s">
        <v>86</v>
      </c>
      <c r="O4" s="625" t="s">
        <v>87</v>
      </c>
      <c r="P4" s="625" t="s">
        <v>88</v>
      </c>
      <c r="Q4" s="626" t="s">
        <v>89</v>
      </c>
      <c r="R4" s="625" t="s">
        <v>90</v>
      </c>
      <c r="S4" s="627" t="s">
        <v>317</v>
      </c>
      <c r="T4" s="627" t="s">
        <v>318</v>
      </c>
    </row>
    <row r="5" spans="1:20">
      <c r="A5" s="653" t="s">
        <v>62</v>
      </c>
      <c r="B5" s="655">
        <v>152</v>
      </c>
      <c r="C5" s="655">
        <v>0</v>
      </c>
      <c r="D5" s="656">
        <v>0</v>
      </c>
      <c r="E5" s="655">
        <v>14</v>
      </c>
      <c r="F5" s="655">
        <v>2415</v>
      </c>
      <c r="G5" s="655">
        <v>488</v>
      </c>
      <c r="H5" s="655">
        <v>21222</v>
      </c>
      <c r="I5" s="655">
        <v>5</v>
      </c>
      <c r="J5" s="655">
        <v>161</v>
      </c>
      <c r="K5" s="655">
        <v>0</v>
      </c>
      <c r="L5" s="655">
        <v>645</v>
      </c>
      <c r="M5" s="657">
        <v>25103</v>
      </c>
      <c r="N5" s="654">
        <f>SUM(B5+E5)</f>
        <v>166</v>
      </c>
      <c r="O5" s="654">
        <f>SUM(C5+D5+F5+G5)</f>
        <v>2903</v>
      </c>
      <c r="P5" s="654">
        <f>SUM(H5:L5)</f>
        <v>22033</v>
      </c>
      <c r="Q5" s="594">
        <f>(10*N5)+(3*O5)+P5</f>
        <v>32402</v>
      </c>
      <c r="R5" s="560">
        <f>SUM(Q5/($Q$45+$Q$57))</f>
        <v>1.4867619818048084E-2</v>
      </c>
      <c r="S5" s="654">
        <f>SUM(N5:P5)</f>
        <v>25102</v>
      </c>
      <c r="T5" s="654">
        <f>S5-M5</f>
        <v>-1</v>
      </c>
    </row>
    <row r="6" spans="1:20">
      <c r="A6" s="653" t="s">
        <v>84</v>
      </c>
      <c r="B6" s="655">
        <v>1927</v>
      </c>
      <c r="C6" s="655">
        <v>0</v>
      </c>
      <c r="D6" s="656">
        <v>0</v>
      </c>
      <c r="E6" s="655">
        <v>88</v>
      </c>
      <c r="F6" s="655">
        <v>5754</v>
      </c>
      <c r="G6" s="655">
        <v>724</v>
      </c>
      <c r="H6" s="655">
        <v>11133</v>
      </c>
      <c r="I6" s="655">
        <v>4</v>
      </c>
      <c r="J6" s="655">
        <v>127</v>
      </c>
      <c r="K6" s="655">
        <v>9</v>
      </c>
      <c r="L6" s="655">
        <v>24</v>
      </c>
      <c r="M6" s="657">
        <v>19790</v>
      </c>
      <c r="N6" s="654">
        <f t="shared" ref="N6:N43" si="0">SUM(B6+E6)</f>
        <v>2015</v>
      </c>
      <c r="O6" s="654">
        <f t="shared" ref="O6:O43" si="1">SUM(C6+D6+F6+G6)</f>
        <v>6478</v>
      </c>
      <c r="P6" s="654">
        <f t="shared" ref="P6:P43" si="2">SUM(H6:L6)</f>
        <v>11297</v>
      </c>
      <c r="Q6" s="594">
        <f t="shared" ref="Q6:Q42" si="3">(10*N6)+(3*O6)+P6</f>
        <v>50881</v>
      </c>
      <c r="R6" s="560">
        <f t="shared" ref="R6:R42" si="4">SUM(Q6/($Q$45+$Q$57))</f>
        <v>2.3346687363807933E-2</v>
      </c>
      <c r="S6" s="654">
        <f t="shared" ref="S6:S43" si="5">SUM(N6:P6)</f>
        <v>19790</v>
      </c>
      <c r="T6" s="654">
        <f t="shared" ref="T6:T43" si="6">S6-M6</f>
        <v>0</v>
      </c>
    </row>
    <row r="7" spans="1:20">
      <c r="A7" s="653" t="s">
        <v>35</v>
      </c>
      <c r="B7" s="655">
        <v>104</v>
      </c>
      <c r="C7" s="655">
        <v>0</v>
      </c>
      <c r="D7" s="656">
        <v>743</v>
      </c>
      <c r="E7" s="655">
        <v>21</v>
      </c>
      <c r="F7" s="655">
        <v>1655</v>
      </c>
      <c r="G7" s="655">
        <v>173</v>
      </c>
      <c r="H7" s="655">
        <v>2503</v>
      </c>
      <c r="I7" s="655">
        <v>0</v>
      </c>
      <c r="J7" s="655">
        <v>147</v>
      </c>
      <c r="K7" s="655">
        <v>45</v>
      </c>
      <c r="L7" s="655">
        <v>471</v>
      </c>
      <c r="M7" s="657">
        <v>5861</v>
      </c>
      <c r="N7" s="654">
        <f t="shared" si="0"/>
        <v>125</v>
      </c>
      <c r="O7" s="654">
        <f t="shared" si="1"/>
        <v>2571</v>
      </c>
      <c r="P7" s="654">
        <f t="shared" si="2"/>
        <v>3166</v>
      </c>
      <c r="Q7" s="594">
        <f t="shared" si="3"/>
        <v>12129</v>
      </c>
      <c r="R7" s="560">
        <f t="shared" si="4"/>
        <v>5.565377469696476E-3</v>
      </c>
      <c r="S7" s="654">
        <f t="shared" si="5"/>
        <v>5862</v>
      </c>
      <c r="T7" s="654">
        <f t="shared" si="6"/>
        <v>1</v>
      </c>
    </row>
    <row r="8" spans="1:20">
      <c r="A8" s="616" t="s">
        <v>57</v>
      </c>
      <c r="B8" s="655">
        <v>191</v>
      </c>
      <c r="C8" s="655">
        <v>1</v>
      </c>
      <c r="D8" s="656">
        <v>0</v>
      </c>
      <c r="E8" s="655">
        <v>26</v>
      </c>
      <c r="F8" s="655">
        <v>926</v>
      </c>
      <c r="G8" s="655">
        <v>108</v>
      </c>
      <c r="H8" s="655">
        <v>4708</v>
      </c>
      <c r="I8" s="655">
        <v>46</v>
      </c>
      <c r="J8" s="655">
        <v>180</v>
      </c>
      <c r="K8" s="655">
        <v>520</v>
      </c>
      <c r="L8" s="655">
        <v>1</v>
      </c>
      <c r="M8" s="657">
        <v>6706</v>
      </c>
      <c r="N8" s="654">
        <f t="shared" si="0"/>
        <v>217</v>
      </c>
      <c r="O8" s="654">
        <f t="shared" si="1"/>
        <v>1035</v>
      </c>
      <c r="P8" s="654">
        <f t="shared" si="2"/>
        <v>5455</v>
      </c>
      <c r="Q8" s="594">
        <f t="shared" si="3"/>
        <v>10730</v>
      </c>
      <c r="R8" s="560">
        <f t="shared" si="4"/>
        <v>4.9234479553007821E-3</v>
      </c>
      <c r="S8" s="654">
        <f t="shared" si="5"/>
        <v>6707</v>
      </c>
      <c r="T8" s="654">
        <f t="shared" si="6"/>
        <v>1</v>
      </c>
    </row>
    <row r="9" spans="1:20">
      <c r="A9" s="653" t="s">
        <v>14</v>
      </c>
      <c r="B9" s="655">
        <v>298</v>
      </c>
      <c r="C9" s="655">
        <v>1</v>
      </c>
      <c r="D9" s="656">
        <v>0</v>
      </c>
      <c r="E9" s="655">
        <v>15</v>
      </c>
      <c r="F9" s="655">
        <v>6124</v>
      </c>
      <c r="G9" s="655">
        <v>943</v>
      </c>
      <c r="H9" s="655">
        <v>13342</v>
      </c>
      <c r="I9" s="655">
        <v>1746</v>
      </c>
      <c r="J9" s="655">
        <v>135</v>
      </c>
      <c r="K9" s="655">
        <v>563</v>
      </c>
      <c r="L9" s="655">
        <v>101</v>
      </c>
      <c r="M9" s="657">
        <v>23268</v>
      </c>
      <c r="N9" s="654">
        <f t="shared" si="0"/>
        <v>313</v>
      </c>
      <c r="O9" s="654">
        <f t="shared" si="1"/>
        <v>7068</v>
      </c>
      <c r="P9" s="654">
        <f t="shared" si="2"/>
        <v>15887</v>
      </c>
      <c r="Q9" s="594">
        <f t="shared" si="3"/>
        <v>40221</v>
      </c>
      <c r="R9" s="560">
        <f t="shared" si="4"/>
        <v>1.8455358826668478E-2</v>
      </c>
      <c r="S9" s="654">
        <f t="shared" si="5"/>
        <v>23268</v>
      </c>
      <c r="T9" s="654">
        <f t="shared" si="6"/>
        <v>0</v>
      </c>
    </row>
    <row r="10" spans="1:20">
      <c r="A10" s="653" t="s">
        <v>323</v>
      </c>
      <c r="B10" s="655">
        <v>178</v>
      </c>
      <c r="C10" s="655">
        <v>0</v>
      </c>
      <c r="D10" s="656">
        <v>0</v>
      </c>
      <c r="E10" s="655">
        <v>59</v>
      </c>
      <c r="F10" s="655">
        <v>6066</v>
      </c>
      <c r="G10" s="655">
        <v>369</v>
      </c>
      <c r="H10" s="655">
        <v>9001</v>
      </c>
      <c r="I10" s="655">
        <v>121</v>
      </c>
      <c r="J10" s="655">
        <v>108</v>
      </c>
      <c r="K10" s="655">
        <v>908</v>
      </c>
      <c r="L10" s="655">
        <v>79</v>
      </c>
      <c r="M10" s="657">
        <v>16887</v>
      </c>
      <c r="N10" s="654">
        <f t="shared" si="0"/>
        <v>237</v>
      </c>
      <c r="O10" s="654">
        <f t="shared" si="1"/>
        <v>6435</v>
      </c>
      <c r="P10" s="654">
        <f t="shared" si="2"/>
        <v>10217</v>
      </c>
      <c r="Q10" s="594">
        <f t="shared" si="3"/>
        <v>31892</v>
      </c>
      <c r="R10" s="560">
        <f t="shared" si="4"/>
        <v>1.4633606914301264E-2</v>
      </c>
      <c r="S10" s="654">
        <f t="shared" si="5"/>
        <v>16889</v>
      </c>
      <c r="T10" s="654">
        <f t="shared" si="6"/>
        <v>2</v>
      </c>
    </row>
    <row r="11" spans="1:20">
      <c r="A11" s="653" t="s">
        <v>336</v>
      </c>
      <c r="B11" s="655">
        <v>1222</v>
      </c>
      <c r="C11" s="655">
        <v>0</v>
      </c>
      <c r="D11" s="656">
        <v>43</v>
      </c>
      <c r="E11" s="655">
        <v>142</v>
      </c>
      <c r="F11" s="655">
        <v>3027</v>
      </c>
      <c r="G11" s="655">
        <v>497</v>
      </c>
      <c r="H11" s="655">
        <v>28468</v>
      </c>
      <c r="I11" s="655">
        <v>18</v>
      </c>
      <c r="J11" s="655">
        <v>148</v>
      </c>
      <c r="K11" s="655">
        <v>1046</v>
      </c>
      <c r="L11" s="655">
        <v>118</v>
      </c>
      <c r="M11" s="657">
        <v>34728</v>
      </c>
      <c r="N11" s="654">
        <f t="shared" si="0"/>
        <v>1364</v>
      </c>
      <c r="O11" s="654">
        <f t="shared" si="1"/>
        <v>3567</v>
      </c>
      <c r="P11" s="654">
        <f t="shared" si="2"/>
        <v>29798</v>
      </c>
      <c r="Q11" s="594">
        <f t="shared" si="3"/>
        <v>54139</v>
      </c>
      <c r="R11" s="560">
        <f t="shared" si="4"/>
        <v>2.4841616854802333E-2</v>
      </c>
      <c r="S11" s="654">
        <f t="shared" si="5"/>
        <v>34729</v>
      </c>
      <c r="T11" s="654">
        <f t="shared" si="6"/>
        <v>1</v>
      </c>
    </row>
    <row r="12" spans="1:20">
      <c r="A12" s="653" t="s">
        <v>63</v>
      </c>
      <c r="B12" s="655">
        <v>1215</v>
      </c>
      <c r="C12" s="655">
        <v>0</v>
      </c>
      <c r="D12" s="656">
        <v>444</v>
      </c>
      <c r="E12" s="655">
        <v>59</v>
      </c>
      <c r="F12" s="655">
        <v>8763</v>
      </c>
      <c r="G12" s="655">
        <v>1222</v>
      </c>
      <c r="H12" s="655">
        <v>30909</v>
      </c>
      <c r="I12" s="655">
        <v>469</v>
      </c>
      <c r="J12" s="655">
        <v>76</v>
      </c>
      <c r="K12" s="655">
        <v>0</v>
      </c>
      <c r="L12" s="655">
        <v>308</v>
      </c>
      <c r="M12" s="657">
        <v>43465</v>
      </c>
      <c r="N12" s="654">
        <f t="shared" si="0"/>
        <v>1274</v>
      </c>
      <c r="O12" s="654">
        <f t="shared" si="1"/>
        <v>10429</v>
      </c>
      <c r="P12" s="654">
        <f t="shared" si="2"/>
        <v>31762</v>
      </c>
      <c r="Q12" s="594">
        <f t="shared" si="3"/>
        <v>75789</v>
      </c>
      <c r="R12" s="560">
        <f t="shared" si="4"/>
        <v>3.4775694043270362E-2</v>
      </c>
      <c r="S12" s="654">
        <f t="shared" si="5"/>
        <v>43465</v>
      </c>
      <c r="T12" s="654">
        <f t="shared" si="6"/>
        <v>0</v>
      </c>
    </row>
    <row r="13" spans="1:20">
      <c r="A13" s="653" t="s">
        <v>45</v>
      </c>
      <c r="B13" s="655">
        <v>407</v>
      </c>
      <c r="C13" s="655">
        <v>1</v>
      </c>
      <c r="D13" s="656">
        <v>0</v>
      </c>
      <c r="E13" s="655">
        <v>85</v>
      </c>
      <c r="F13" s="655">
        <v>3458</v>
      </c>
      <c r="G13" s="655">
        <v>531</v>
      </c>
      <c r="H13" s="655">
        <v>13589</v>
      </c>
      <c r="I13" s="655">
        <v>17</v>
      </c>
      <c r="J13" s="655">
        <v>198</v>
      </c>
      <c r="K13" s="655">
        <v>1455</v>
      </c>
      <c r="L13" s="655">
        <v>15</v>
      </c>
      <c r="M13" s="657">
        <v>19756</v>
      </c>
      <c r="N13" s="654">
        <f t="shared" si="0"/>
        <v>492</v>
      </c>
      <c r="O13" s="654">
        <f t="shared" si="1"/>
        <v>3990</v>
      </c>
      <c r="P13" s="654">
        <f t="shared" si="2"/>
        <v>15274</v>
      </c>
      <c r="Q13" s="594">
        <f t="shared" si="3"/>
        <v>32164</v>
      </c>
      <c r="R13" s="560">
        <f t="shared" si="4"/>
        <v>1.4758413796299568E-2</v>
      </c>
      <c r="S13" s="654">
        <f t="shared" si="5"/>
        <v>19756</v>
      </c>
      <c r="T13" s="654">
        <f t="shared" si="6"/>
        <v>0</v>
      </c>
    </row>
    <row r="14" spans="1:20">
      <c r="A14" s="653" t="s">
        <v>329</v>
      </c>
      <c r="B14" s="655">
        <v>181</v>
      </c>
      <c r="C14" s="655">
        <v>1</v>
      </c>
      <c r="D14" s="656">
        <v>0</v>
      </c>
      <c r="E14" s="655">
        <v>13</v>
      </c>
      <c r="F14" s="655">
        <v>4746</v>
      </c>
      <c r="G14" s="655">
        <v>155</v>
      </c>
      <c r="H14" s="655">
        <v>8041</v>
      </c>
      <c r="I14" s="655">
        <v>5</v>
      </c>
      <c r="J14" s="655">
        <v>182</v>
      </c>
      <c r="K14" s="655">
        <v>118</v>
      </c>
      <c r="L14" s="655">
        <v>35</v>
      </c>
      <c r="M14" s="657">
        <v>13477</v>
      </c>
      <c r="N14" s="654">
        <f t="shared" si="0"/>
        <v>194</v>
      </c>
      <c r="O14" s="654">
        <f t="shared" si="1"/>
        <v>4902</v>
      </c>
      <c r="P14" s="654">
        <f t="shared" si="2"/>
        <v>8381</v>
      </c>
      <c r="Q14" s="594">
        <f t="shared" si="3"/>
        <v>25027</v>
      </c>
      <c r="R14" s="560">
        <f t="shared" si="4"/>
        <v>1.1483609690336689E-2</v>
      </c>
      <c r="S14" s="654">
        <f t="shared" si="5"/>
        <v>13477</v>
      </c>
      <c r="T14" s="654">
        <f t="shared" si="6"/>
        <v>0</v>
      </c>
    </row>
    <row r="15" spans="1:20">
      <c r="A15" s="653" t="s">
        <v>324</v>
      </c>
      <c r="B15" s="655">
        <v>559</v>
      </c>
      <c r="C15" s="655">
        <v>2</v>
      </c>
      <c r="D15" s="656">
        <v>655</v>
      </c>
      <c r="E15" s="655">
        <v>24</v>
      </c>
      <c r="F15" s="655">
        <v>3070</v>
      </c>
      <c r="G15" s="655">
        <v>642</v>
      </c>
      <c r="H15" s="655">
        <v>12117</v>
      </c>
      <c r="I15" s="655">
        <v>0</v>
      </c>
      <c r="J15" s="655">
        <v>30</v>
      </c>
      <c r="K15" s="655">
        <v>297</v>
      </c>
      <c r="L15" s="655">
        <v>28</v>
      </c>
      <c r="M15" s="657">
        <v>17422</v>
      </c>
      <c r="N15" s="654">
        <f t="shared" si="0"/>
        <v>583</v>
      </c>
      <c r="O15" s="654">
        <f t="shared" si="1"/>
        <v>4369</v>
      </c>
      <c r="P15" s="654">
        <f t="shared" si="2"/>
        <v>12472</v>
      </c>
      <c r="Q15" s="594">
        <f t="shared" si="3"/>
        <v>31409</v>
      </c>
      <c r="R15" s="560">
        <f t="shared" si="4"/>
        <v>1.4411982928988097E-2</v>
      </c>
      <c r="S15" s="654">
        <f t="shared" si="5"/>
        <v>17424</v>
      </c>
      <c r="T15" s="654">
        <f t="shared" si="6"/>
        <v>2</v>
      </c>
    </row>
    <row r="16" spans="1:20">
      <c r="A16" s="653" t="s">
        <v>37</v>
      </c>
      <c r="B16" s="655">
        <v>1294</v>
      </c>
      <c r="C16" s="655">
        <v>0</v>
      </c>
      <c r="D16" s="656">
        <v>873</v>
      </c>
      <c r="E16" s="655">
        <v>126</v>
      </c>
      <c r="F16" s="655">
        <v>4176</v>
      </c>
      <c r="G16" s="655">
        <v>685</v>
      </c>
      <c r="H16" s="655">
        <v>28557</v>
      </c>
      <c r="I16" s="655">
        <v>0</v>
      </c>
      <c r="J16" s="655">
        <v>298</v>
      </c>
      <c r="K16" s="655">
        <v>158</v>
      </c>
      <c r="L16" s="655">
        <v>484</v>
      </c>
      <c r="M16" s="657">
        <v>36649</v>
      </c>
      <c r="N16" s="654">
        <f t="shared" si="0"/>
        <v>1420</v>
      </c>
      <c r="O16" s="654">
        <f t="shared" si="1"/>
        <v>5734</v>
      </c>
      <c r="P16" s="654">
        <f t="shared" si="2"/>
        <v>29497</v>
      </c>
      <c r="Q16" s="594">
        <f t="shared" si="3"/>
        <v>60899</v>
      </c>
      <c r="R16" s="560">
        <f t="shared" si="4"/>
        <v>2.7943434951524914E-2</v>
      </c>
      <c r="S16" s="654">
        <f t="shared" si="5"/>
        <v>36651</v>
      </c>
      <c r="T16" s="654">
        <f t="shared" si="6"/>
        <v>2</v>
      </c>
    </row>
    <row r="17" spans="1:20">
      <c r="A17" s="653" t="s">
        <v>38</v>
      </c>
      <c r="B17" s="655">
        <v>512</v>
      </c>
      <c r="C17" s="655">
        <v>0</v>
      </c>
      <c r="D17" s="656">
        <v>0</v>
      </c>
      <c r="E17" s="655">
        <v>37</v>
      </c>
      <c r="F17" s="655">
        <v>2428</v>
      </c>
      <c r="G17" s="655">
        <v>235</v>
      </c>
      <c r="H17" s="655">
        <v>10730</v>
      </c>
      <c r="I17" s="655">
        <v>0</v>
      </c>
      <c r="J17" s="655">
        <v>613</v>
      </c>
      <c r="K17" s="655">
        <v>289</v>
      </c>
      <c r="L17" s="655">
        <v>253</v>
      </c>
      <c r="M17" s="657">
        <v>15097</v>
      </c>
      <c r="N17" s="654">
        <f t="shared" si="0"/>
        <v>549</v>
      </c>
      <c r="O17" s="654">
        <f t="shared" si="1"/>
        <v>2663</v>
      </c>
      <c r="P17" s="654">
        <f t="shared" si="2"/>
        <v>11885</v>
      </c>
      <c r="Q17" s="594">
        <f t="shared" si="3"/>
        <v>25364</v>
      </c>
      <c r="R17" s="560">
        <f t="shared" si="4"/>
        <v>1.1638241746341942E-2</v>
      </c>
      <c r="S17" s="654">
        <f t="shared" si="5"/>
        <v>15097</v>
      </c>
      <c r="T17" s="654">
        <f t="shared" si="6"/>
        <v>0</v>
      </c>
    </row>
    <row r="18" spans="1:20">
      <c r="A18" s="653" t="s">
        <v>26</v>
      </c>
      <c r="B18" s="655">
        <v>850</v>
      </c>
      <c r="C18" s="655">
        <v>0</v>
      </c>
      <c r="D18" s="656">
        <v>0</v>
      </c>
      <c r="E18" s="655">
        <v>75</v>
      </c>
      <c r="F18" s="655">
        <v>4571</v>
      </c>
      <c r="G18" s="655">
        <v>304</v>
      </c>
      <c r="H18" s="655">
        <v>22693</v>
      </c>
      <c r="I18" s="655">
        <v>0</v>
      </c>
      <c r="J18" s="655">
        <v>376</v>
      </c>
      <c r="K18" s="655">
        <v>102</v>
      </c>
      <c r="L18" s="655">
        <v>57</v>
      </c>
      <c r="M18" s="657">
        <v>29028</v>
      </c>
      <c r="N18" s="654">
        <f t="shared" si="0"/>
        <v>925</v>
      </c>
      <c r="O18" s="654">
        <f t="shared" si="1"/>
        <v>4875</v>
      </c>
      <c r="P18" s="654">
        <f t="shared" si="2"/>
        <v>23228</v>
      </c>
      <c r="Q18" s="594">
        <f t="shared" si="3"/>
        <v>47103</v>
      </c>
      <c r="R18" s="560">
        <f t="shared" si="4"/>
        <v>2.1613156480757945E-2</v>
      </c>
      <c r="S18" s="654">
        <f t="shared" si="5"/>
        <v>29028</v>
      </c>
      <c r="T18" s="654">
        <f t="shared" si="6"/>
        <v>0</v>
      </c>
    </row>
    <row r="19" spans="1:20">
      <c r="A19" s="653" t="s">
        <v>15</v>
      </c>
      <c r="B19" s="655">
        <v>1028</v>
      </c>
      <c r="C19" s="655">
        <v>0</v>
      </c>
      <c r="D19" s="656">
        <v>0</v>
      </c>
      <c r="E19" s="655">
        <v>302</v>
      </c>
      <c r="F19" s="655">
        <v>5885</v>
      </c>
      <c r="G19" s="655">
        <v>211</v>
      </c>
      <c r="H19" s="655">
        <v>24005</v>
      </c>
      <c r="I19" s="655">
        <v>0</v>
      </c>
      <c r="J19" s="655">
        <v>979</v>
      </c>
      <c r="K19" s="655">
        <v>362</v>
      </c>
      <c r="L19" s="655">
        <v>255</v>
      </c>
      <c r="M19" s="657">
        <v>33027</v>
      </c>
      <c r="N19" s="654">
        <f t="shared" si="0"/>
        <v>1330</v>
      </c>
      <c r="O19" s="654">
        <f t="shared" si="1"/>
        <v>6096</v>
      </c>
      <c r="P19" s="654">
        <f t="shared" si="2"/>
        <v>25601</v>
      </c>
      <c r="Q19" s="594">
        <f t="shared" si="3"/>
        <v>57189</v>
      </c>
      <c r="R19" s="560">
        <f t="shared" si="4"/>
        <v>2.6241105788974504E-2</v>
      </c>
      <c r="S19" s="654">
        <f t="shared" si="5"/>
        <v>33027</v>
      </c>
      <c r="T19" s="654">
        <f t="shared" si="6"/>
        <v>0</v>
      </c>
    </row>
    <row r="20" spans="1:20">
      <c r="A20" s="653" t="s">
        <v>28</v>
      </c>
      <c r="B20" s="655">
        <v>3502</v>
      </c>
      <c r="C20" s="655">
        <v>0</v>
      </c>
      <c r="D20" s="656">
        <v>0</v>
      </c>
      <c r="E20" s="655">
        <v>195</v>
      </c>
      <c r="F20" s="655">
        <v>16252</v>
      </c>
      <c r="G20" s="655">
        <v>1273</v>
      </c>
      <c r="H20" s="655">
        <v>48367</v>
      </c>
      <c r="I20" s="655">
        <v>0</v>
      </c>
      <c r="J20" s="655">
        <v>359</v>
      </c>
      <c r="K20" s="655">
        <v>14</v>
      </c>
      <c r="L20" s="655">
        <v>124</v>
      </c>
      <c r="M20" s="657">
        <v>70085</v>
      </c>
      <c r="N20" s="654">
        <f t="shared" si="0"/>
        <v>3697</v>
      </c>
      <c r="O20" s="654">
        <f t="shared" si="1"/>
        <v>17525</v>
      </c>
      <c r="P20" s="654">
        <f t="shared" si="2"/>
        <v>48864</v>
      </c>
      <c r="Q20" s="594">
        <f t="shared" si="3"/>
        <v>138409</v>
      </c>
      <c r="R20" s="560">
        <f>SUM(Q20/($Q$45+$Q$57))</f>
        <v>6.3508807832733077E-2</v>
      </c>
      <c r="S20" s="654">
        <f t="shared" si="5"/>
        <v>70086</v>
      </c>
      <c r="T20" s="654">
        <f t="shared" si="6"/>
        <v>1</v>
      </c>
    </row>
    <row r="21" spans="1:20">
      <c r="A21" s="653" t="s">
        <v>46</v>
      </c>
      <c r="B21" s="655">
        <v>464</v>
      </c>
      <c r="C21" s="655">
        <v>0</v>
      </c>
      <c r="D21" s="656">
        <v>0</v>
      </c>
      <c r="E21" s="655">
        <v>56</v>
      </c>
      <c r="F21" s="655">
        <v>2209</v>
      </c>
      <c r="G21" s="655">
        <v>472</v>
      </c>
      <c r="H21" s="655">
        <v>13198</v>
      </c>
      <c r="I21" s="655">
        <v>0</v>
      </c>
      <c r="J21" s="655">
        <v>80</v>
      </c>
      <c r="K21" s="655">
        <v>853</v>
      </c>
      <c r="L21" s="655">
        <v>76</v>
      </c>
      <c r="M21" s="657">
        <v>17409</v>
      </c>
      <c r="N21" s="654">
        <f t="shared" si="0"/>
        <v>520</v>
      </c>
      <c r="O21" s="654">
        <f t="shared" si="1"/>
        <v>2681</v>
      </c>
      <c r="P21" s="654">
        <f t="shared" si="2"/>
        <v>14207</v>
      </c>
      <c r="Q21" s="594">
        <f t="shared" si="3"/>
        <v>27450</v>
      </c>
      <c r="R21" s="560">
        <f t="shared" si="4"/>
        <v>1.2595400407549532E-2</v>
      </c>
      <c r="S21" s="654">
        <f t="shared" si="5"/>
        <v>17408</v>
      </c>
      <c r="T21" s="654">
        <f t="shared" si="6"/>
        <v>-1</v>
      </c>
    </row>
    <row r="22" spans="1:20">
      <c r="A22" s="653" t="s">
        <v>39</v>
      </c>
      <c r="B22" s="655">
        <v>1391</v>
      </c>
      <c r="C22" s="655">
        <v>1</v>
      </c>
      <c r="D22" s="656">
        <v>0</v>
      </c>
      <c r="E22" s="655">
        <v>241</v>
      </c>
      <c r="F22" s="655">
        <v>3724</v>
      </c>
      <c r="G22" s="655">
        <v>1261</v>
      </c>
      <c r="H22" s="655">
        <v>30963</v>
      </c>
      <c r="I22" s="655">
        <v>0</v>
      </c>
      <c r="J22" s="655">
        <v>825</v>
      </c>
      <c r="K22" s="655">
        <v>0</v>
      </c>
      <c r="L22" s="655">
        <v>273</v>
      </c>
      <c r="M22" s="657">
        <v>38678</v>
      </c>
      <c r="N22" s="654">
        <f t="shared" si="0"/>
        <v>1632</v>
      </c>
      <c r="O22" s="654">
        <f t="shared" si="1"/>
        <v>4986</v>
      </c>
      <c r="P22" s="654">
        <f t="shared" si="2"/>
        <v>32061</v>
      </c>
      <c r="Q22" s="594">
        <f t="shared" si="3"/>
        <v>63339</v>
      </c>
      <c r="R22" s="560">
        <f t="shared" si="4"/>
        <v>2.9063026098862653E-2</v>
      </c>
      <c r="S22" s="654">
        <f t="shared" si="5"/>
        <v>38679</v>
      </c>
      <c r="T22" s="654">
        <f t="shared" si="6"/>
        <v>1</v>
      </c>
    </row>
    <row r="23" spans="1:20">
      <c r="A23" s="653" t="s">
        <v>29</v>
      </c>
      <c r="B23" s="655">
        <v>1554</v>
      </c>
      <c r="C23" s="655">
        <v>0</v>
      </c>
      <c r="D23" s="656">
        <v>0</v>
      </c>
      <c r="E23" s="655">
        <v>126</v>
      </c>
      <c r="F23" s="655">
        <v>8074</v>
      </c>
      <c r="G23" s="655">
        <v>1275</v>
      </c>
      <c r="H23" s="655">
        <v>38943</v>
      </c>
      <c r="I23" s="655">
        <v>2976</v>
      </c>
      <c r="J23" s="655">
        <v>578</v>
      </c>
      <c r="K23" s="655">
        <v>7</v>
      </c>
      <c r="L23" s="655">
        <v>471</v>
      </c>
      <c r="M23" s="657">
        <v>54004</v>
      </c>
      <c r="N23" s="654">
        <f t="shared" si="0"/>
        <v>1680</v>
      </c>
      <c r="O23" s="654">
        <f t="shared" si="1"/>
        <v>9349</v>
      </c>
      <c r="P23" s="654">
        <f t="shared" si="2"/>
        <v>42975</v>
      </c>
      <c r="Q23" s="594">
        <f t="shared" si="3"/>
        <v>87822</v>
      </c>
      <c r="R23" s="560">
        <f t="shared" si="4"/>
        <v>4.0297022025202731E-2</v>
      </c>
      <c r="S23" s="654">
        <f t="shared" si="5"/>
        <v>54004</v>
      </c>
      <c r="T23" s="654">
        <f t="shared" si="6"/>
        <v>0</v>
      </c>
    </row>
    <row r="24" spans="1:20">
      <c r="A24" s="653" t="s">
        <v>16</v>
      </c>
      <c r="B24" s="655">
        <v>176</v>
      </c>
      <c r="C24" s="655">
        <v>0</v>
      </c>
      <c r="D24" s="656">
        <v>0</v>
      </c>
      <c r="E24" s="655">
        <v>35</v>
      </c>
      <c r="F24" s="655">
        <v>2606</v>
      </c>
      <c r="G24" s="655">
        <v>430</v>
      </c>
      <c r="H24" s="655">
        <v>7905</v>
      </c>
      <c r="I24" s="655">
        <v>255</v>
      </c>
      <c r="J24" s="655">
        <v>215</v>
      </c>
      <c r="K24" s="655">
        <v>550</v>
      </c>
      <c r="L24" s="655">
        <v>46</v>
      </c>
      <c r="M24" s="657">
        <v>12218</v>
      </c>
      <c r="N24" s="654">
        <f t="shared" si="0"/>
        <v>211</v>
      </c>
      <c r="O24" s="654">
        <f t="shared" si="1"/>
        <v>3036</v>
      </c>
      <c r="P24" s="654">
        <f t="shared" si="2"/>
        <v>8971</v>
      </c>
      <c r="Q24" s="594">
        <f t="shared" si="3"/>
        <v>20189</v>
      </c>
      <c r="R24" s="560">
        <f t="shared" si="4"/>
        <v>9.2636990465580146E-3</v>
      </c>
      <c r="S24" s="654">
        <f t="shared" si="5"/>
        <v>12218</v>
      </c>
      <c r="T24" s="654">
        <f t="shared" si="6"/>
        <v>0</v>
      </c>
    </row>
    <row r="25" spans="1:20">
      <c r="A25" s="653" t="s">
        <v>30</v>
      </c>
      <c r="B25" s="655">
        <v>982</v>
      </c>
      <c r="C25" s="655">
        <v>0</v>
      </c>
      <c r="D25" s="656">
        <v>0</v>
      </c>
      <c r="E25" s="655">
        <v>105</v>
      </c>
      <c r="F25" s="655">
        <v>3075</v>
      </c>
      <c r="G25" s="655">
        <v>472</v>
      </c>
      <c r="H25" s="655">
        <v>20907</v>
      </c>
      <c r="I25" s="655">
        <v>128</v>
      </c>
      <c r="J25" s="655">
        <v>1158</v>
      </c>
      <c r="K25" s="655">
        <v>0</v>
      </c>
      <c r="L25" s="655">
        <v>138</v>
      </c>
      <c r="M25" s="657">
        <v>26964</v>
      </c>
      <c r="N25" s="654">
        <f t="shared" si="0"/>
        <v>1087</v>
      </c>
      <c r="O25" s="654">
        <f t="shared" si="1"/>
        <v>3547</v>
      </c>
      <c r="P25" s="654">
        <f t="shared" si="2"/>
        <v>22331</v>
      </c>
      <c r="Q25" s="594">
        <f t="shared" si="3"/>
        <v>43842</v>
      </c>
      <c r="R25" s="560">
        <f>SUM(Q25/($Q$45+$Q$57))</f>
        <v>2.0116850443270912E-2</v>
      </c>
      <c r="S25" s="654">
        <f t="shared" si="5"/>
        <v>26965</v>
      </c>
      <c r="T25" s="654">
        <f t="shared" si="6"/>
        <v>1</v>
      </c>
    </row>
    <row r="26" spans="1:20">
      <c r="A26" s="653" t="s">
        <v>75</v>
      </c>
      <c r="B26" s="655">
        <v>1429</v>
      </c>
      <c r="C26" s="655">
        <v>0</v>
      </c>
      <c r="D26" s="656">
        <v>207</v>
      </c>
      <c r="E26" s="655">
        <v>235</v>
      </c>
      <c r="F26" s="655">
        <v>3295</v>
      </c>
      <c r="G26" s="655">
        <v>377</v>
      </c>
      <c r="H26" s="655">
        <v>16389</v>
      </c>
      <c r="I26" s="655">
        <v>0</v>
      </c>
      <c r="J26" s="655">
        <v>169</v>
      </c>
      <c r="K26" s="655">
        <v>62</v>
      </c>
      <c r="L26" s="655">
        <v>55</v>
      </c>
      <c r="M26" s="657">
        <v>22219</v>
      </c>
      <c r="N26" s="654">
        <f t="shared" si="0"/>
        <v>1664</v>
      </c>
      <c r="O26" s="654">
        <f t="shared" si="1"/>
        <v>3879</v>
      </c>
      <c r="P26" s="654">
        <f t="shared" si="2"/>
        <v>16675</v>
      </c>
      <c r="Q26" s="594">
        <f t="shared" si="3"/>
        <v>44952</v>
      </c>
      <c r="R26" s="560">
        <f>SUM(Q26/($Q$45+$Q$57))</f>
        <v>2.0626172645543409E-2</v>
      </c>
      <c r="S26" s="654">
        <f t="shared" si="5"/>
        <v>22218</v>
      </c>
      <c r="T26" s="654">
        <f t="shared" si="6"/>
        <v>-1</v>
      </c>
    </row>
    <row r="27" spans="1:20">
      <c r="A27" s="653" t="s">
        <v>60</v>
      </c>
      <c r="B27" s="655">
        <v>315</v>
      </c>
      <c r="C27" s="655">
        <v>0</v>
      </c>
      <c r="D27" s="656">
        <v>38</v>
      </c>
      <c r="E27" s="655">
        <v>27</v>
      </c>
      <c r="F27" s="655">
        <v>1809</v>
      </c>
      <c r="G27" s="655">
        <v>167</v>
      </c>
      <c r="H27" s="655">
        <v>8564</v>
      </c>
      <c r="I27" s="655">
        <v>0</v>
      </c>
      <c r="J27" s="655">
        <v>235</v>
      </c>
      <c r="K27" s="655">
        <v>198</v>
      </c>
      <c r="L27" s="655">
        <v>51</v>
      </c>
      <c r="M27" s="657">
        <v>11404</v>
      </c>
      <c r="N27" s="654">
        <f t="shared" si="0"/>
        <v>342</v>
      </c>
      <c r="O27" s="654">
        <f t="shared" si="1"/>
        <v>2014</v>
      </c>
      <c r="P27" s="654">
        <f t="shared" si="2"/>
        <v>9048</v>
      </c>
      <c r="Q27" s="594">
        <f t="shared" si="3"/>
        <v>18510</v>
      </c>
      <c r="R27" s="560">
        <f>SUM(Q27/($Q$45+$Q$57))</f>
        <v>8.4932918595170062E-3</v>
      </c>
      <c r="S27" s="654">
        <f t="shared" si="5"/>
        <v>11404</v>
      </c>
      <c r="T27" s="654">
        <f t="shared" si="6"/>
        <v>0</v>
      </c>
    </row>
    <row r="28" spans="1:20">
      <c r="A28" s="653" t="s">
        <v>76</v>
      </c>
      <c r="B28" s="655">
        <v>3141</v>
      </c>
      <c r="C28" s="655">
        <v>16</v>
      </c>
      <c r="D28" s="656">
        <v>30</v>
      </c>
      <c r="E28" s="655">
        <v>206</v>
      </c>
      <c r="F28" s="655">
        <v>22090</v>
      </c>
      <c r="G28" s="655">
        <v>1504</v>
      </c>
      <c r="H28" s="655">
        <v>26939</v>
      </c>
      <c r="I28" s="655">
        <v>13</v>
      </c>
      <c r="J28" s="655">
        <v>310</v>
      </c>
      <c r="K28" s="655">
        <v>26</v>
      </c>
      <c r="L28" s="655">
        <v>306</v>
      </c>
      <c r="M28" s="657">
        <v>54579</v>
      </c>
      <c r="N28" s="654">
        <f t="shared" si="0"/>
        <v>3347</v>
      </c>
      <c r="O28" s="654">
        <f t="shared" si="1"/>
        <v>23640</v>
      </c>
      <c r="P28" s="654">
        <f t="shared" si="2"/>
        <v>27594</v>
      </c>
      <c r="Q28" s="594">
        <f t="shared" si="3"/>
        <v>131984</v>
      </c>
      <c r="R28" s="560">
        <f>SUM(Q28/($Q$45+$Q$57))</f>
        <v>6.0560704094354004E-2</v>
      </c>
      <c r="S28" s="654">
        <f t="shared" si="5"/>
        <v>54581</v>
      </c>
      <c r="T28" s="654">
        <f t="shared" si="6"/>
        <v>2</v>
      </c>
    </row>
    <row r="29" spans="1:20">
      <c r="A29" s="653" t="s">
        <v>77</v>
      </c>
      <c r="B29" s="655">
        <v>405</v>
      </c>
      <c r="C29" s="655">
        <v>0</v>
      </c>
      <c r="D29" s="656">
        <v>0</v>
      </c>
      <c r="E29" s="655">
        <v>66</v>
      </c>
      <c r="F29" s="655">
        <v>2202</v>
      </c>
      <c r="G29" s="655">
        <v>650</v>
      </c>
      <c r="H29" s="655">
        <v>8817</v>
      </c>
      <c r="I29" s="655">
        <v>6</v>
      </c>
      <c r="J29" s="655">
        <v>468</v>
      </c>
      <c r="K29" s="655">
        <v>255</v>
      </c>
      <c r="L29" s="655">
        <v>89</v>
      </c>
      <c r="M29" s="657">
        <v>12956</v>
      </c>
      <c r="N29" s="654">
        <f t="shared" si="0"/>
        <v>471</v>
      </c>
      <c r="O29" s="654">
        <f t="shared" si="1"/>
        <v>2852</v>
      </c>
      <c r="P29" s="654">
        <f t="shared" si="2"/>
        <v>9635</v>
      </c>
      <c r="Q29" s="594">
        <f t="shared" si="3"/>
        <v>22901</v>
      </c>
      <c r="R29" s="560">
        <f t="shared" si="4"/>
        <v>1.0508097075894056E-2</v>
      </c>
      <c r="S29" s="654">
        <f t="shared" si="5"/>
        <v>12958</v>
      </c>
      <c r="T29" s="654">
        <f t="shared" si="6"/>
        <v>2</v>
      </c>
    </row>
    <row r="30" spans="1:20">
      <c r="A30" s="653" t="s">
        <v>78</v>
      </c>
      <c r="B30" s="655">
        <v>2168</v>
      </c>
      <c r="C30" s="655">
        <v>0</v>
      </c>
      <c r="D30" s="656">
        <v>0</v>
      </c>
      <c r="E30" s="655">
        <v>192</v>
      </c>
      <c r="F30" s="655">
        <v>11489</v>
      </c>
      <c r="G30" s="655">
        <v>429</v>
      </c>
      <c r="H30" s="655">
        <v>32670</v>
      </c>
      <c r="I30" s="655">
        <v>0</v>
      </c>
      <c r="J30" s="655">
        <v>198</v>
      </c>
      <c r="K30" s="655">
        <v>124</v>
      </c>
      <c r="L30" s="655">
        <v>621</v>
      </c>
      <c r="M30" s="657">
        <v>47891</v>
      </c>
      <c r="N30" s="654">
        <f t="shared" si="0"/>
        <v>2360</v>
      </c>
      <c r="O30" s="654">
        <f t="shared" si="1"/>
        <v>11918</v>
      </c>
      <c r="P30" s="654">
        <f t="shared" si="2"/>
        <v>33613</v>
      </c>
      <c r="Q30" s="594">
        <f t="shared" si="3"/>
        <v>92967</v>
      </c>
      <c r="R30" s="560">
        <f t="shared" si="4"/>
        <v>4.2657799260060372E-2</v>
      </c>
      <c r="S30" s="654">
        <f t="shared" si="5"/>
        <v>47891</v>
      </c>
      <c r="T30" s="654">
        <f t="shared" si="6"/>
        <v>0</v>
      </c>
    </row>
    <row r="31" spans="1:20">
      <c r="A31" s="653" t="s">
        <v>79</v>
      </c>
      <c r="B31" s="655">
        <v>1280</v>
      </c>
      <c r="C31" s="655">
        <v>3</v>
      </c>
      <c r="D31" s="656">
        <v>89</v>
      </c>
      <c r="E31" s="655">
        <v>62</v>
      </c>
      <c r="F31" s="655">
        <v>2249</v>
      </c>
      <c r="G31" s="655">
        <v>249</v>
      </c>
      <c r="H31" s="655">
        <v>19829</v>
      </c>
      <c r="I31" s="655">
        <v>5</v>
      </c>
      <c r="J31" s="655">
        <v>29</v>
      </c>
      <c r="K31" s="655">
        <v>1575</v>
      </c>
      <c r="L31" s="655">
        <v>135</v>
      </c>
      <c r="M31" s="657">
        <v>25506</v>
      </c>
      <c r="N31" s="654">
        <f t="shared" si="0"/>
        <v>1342</v>
      </c>
      <c r="O31" s="654">
        <f t="shared" si="1"/>
        <v>2590</v>
      </c>
      <c r="P31" s="654">
        <f t="shared" si="2"/>
        <v>21573</v>
      </c>
      <c r="Q31" s="594">
        <f t="shared" si="3"/>
        <v>42763</v>
      </c>
      <c r="R31" s="560">
        <f t="shared" si="4"/>
        <v>1.9621752554755578E-2</v>
      </c>
      <c r="S31" s="654">
        <f t="shared" si="5"/>
        <v>25505</v>
      </c>
      <c r="T31" s="654">
        <f t="shared" si="6"/>
        <v>-1</v>
      </c>
    </row>
    <row r="32" spans="1:20">
      <c r="A32" s="653" t="s">
        <v>80</v>
      </c>
      <c r="B32" s="655">
        <v>135</v>
      </c>
      <c r="C32" s="655">
        <v>0</v>
      </c>
      <c r="D32" s="656">
        <v>871</v>
      </c>
      <c r="E32" s="655">
        <v>62</v>
      </c>
      <c r="F32" s="655">
        <v>407</v>
      </c>
      <c r="G32" s="655">
        <v>245</v>
      </c>
      <c r="H32" s="655">
        <v>6961</v>
      </c>
      <c r="I32" s="655">
        <v>0</v>
      </c>
      <c r="J32" s="655">
        <v>5</v>
      </c>
      <c r="K32" s="655">
        <v>257</v>
      </c>
      <c r="L32" s="655">
        <v>89</v>
      </c>
      <c r="M32" s="657">
        <v>9032</v>
      </c>
      <c r="N32" s="654">
        <f t="shared" si="0"/>
        <v>197</v>
      </c>
      <c r="O32" s="654">
        <f t="shared" si="1"/>
        <v>1523</v>
      </c>
      <c r="P32" s="654">
        <f>SUM(H32:L32)</f>
        <v>7312</v>
      </c>
      <c r="Q32" s="594">
        <f t="shared" si="3"/>
        <v>13851</v>
      </c>
      <c r="R32" s="560">
        <f t="shared" si="4"/>
        <v>6.3555151564651568E-3</v>
      </c>
      <c r="S32" s="654">
        <f t="shared" si="5"/>
        <v>9032</v>
      </c>
      <c r="T32" s="654">
        <f t="shared" si="6"/>
        <v>0</v>
      </c>
    </row>
    <row r="33" spans="1:20">
      <c r="A33" s="653" t="s">
        <v>81</v>
      </c>
      <c r="B33" s="655">
        <v>3122</v>
      </c>
      <c r="C33" s="655">
        <v>25</v>
      </c>
      <c r="D33" s="656">
        <v>1933</v>
      </c>
      <c r="E33" s="655">
        <v>212</v>
      </c>
      <c r="F33" s="655">
        <v>8625</v>
      </c>
      <c r="G33" s="655">
        <v>708</v>
      </c>
      <c r="H33" s="655">
        <v>28276</v>
      </c>
      <c r="I33" s="655">
        <v>91</v>
      </c>
      <c r="J33" s="655">
        <v>185</v>
      </c>
      <c r="K33" s="655">
        <v>210</v>
      </c>
      <c r="L33" s="655">
        <v>312</v>
      </c>
      <c r="M33" s="657">
        <v>43698</v>
      </c>
      <c r="N33" s="654">
        <f t="shared" si="0"/>
        <v>3334</v>
      </c>
      <c r="O33" s="654">
        <f t="shared" si="1"/>
        <v>11291</v>
      </c>
      <c r="P33" s="654">
        <f t="shared" si="2"/>
        <v>29074</v>
      </c>
      <c r="Q33" s="594">
        <f t="shared" si="3"/>
        <v>96287</v>
      </c>
      <c r="R33" s="560">
        <f t="shared" si="4"/>
        <v>4.4181177378569102E-2</v>
      </c>
      <c r="S33" s="654">
        <f t="shared" si="5"/>
        <v>43699</v>
      </c>
      <c r="T33" s="654">
        <f t="shared" si="6"/>
        <v>1</v>
      </c>
    </row>
    <row r="34" spans="1:20" s="648" customFormat="1">
      <c r="A34" s="653" t="s">
        <v>52</v>
      </c>
      <c r="B34" s="655">
        <v>597</v>
      </c>
      <c r="C34" s="655">
        <v>0</v>
      </c>
      <c r="D34" s="656">
        <v>0</v>
      </c>
      <c r="E34" s="655">
        <v>67</v>
      </c>
      <c r="F34" s="655">
        <v>3006</v>
      </c>
      <c r="G34" s="655">
        <v>578</v>
      </c>
      <c r="H34" s="655">
        <v>19188</v>
      </c>
      <c r="I34" s="655">
        <v>70</v>
      </c>
      <c r="J34" s="655">
        <v>225</v>
      </c>
      <c r="K34" s="655">
        <v>645</v>
      </c>
      <c r="L34" s="655">
        <v>30</v>
      </c>
      <c r="M34" s="657">
        <v>24406</v>
      </c>
      <c r="N34" s="654">
        <f t="shared" si="0"/>
        <v>664</v>
      </c>
      <c r="O34" s="654">
        <f t="shared" si="1"/>
        <v>3584</v>
      </c>
      <c r="P34" s="654">
        <f t="shared" si="2"/>
        <v>20158</v>
      </c>
      <c r="Q34" s="594">
        <f t="shared" si="3"/>
        <v>37550</v>
      </c>
      <c r="R34" s="560">
        <f t="shared" si="4"/>
        <v>1.7229773599398358E-2</v>
      </c>
      <c r="S34" s="654">
        <f t="shared" si="5"/>
        <v>24406</v>
      </c>
      <c r="T34" s="654">
        <f t="shared" si="6"/>
        <v>0</v>
      </c>
    </row>
    <row r="35" spans="1:20">
      <c r="A35" s="653" t="s">
        <v>41</v>
      </c>
      <c r="B35" s="655">
        <v>468</v>
      </c>
      <c r="C35" s="655">
        <v>0</v>
      </c>
      <c r="D35" s="656">
        <v>0</v>
      </c>
      <c r="E35" s="655">
        <v>59</v>
      </c>
      <c r="F35" s="655">
        <v>1614</v>
      </c>
      <c r="G35" s="655">
        <v>362</v>
      </c>
      <c r="H35" s="655">
        <v>9301</v>
      </c>
      <c r="I35" s="655">
        <v>431</v>
      </c>
      <c r="J35" s="655">
        <v>116</v>
      </c>
      <c r="K35" s="655">
        <v>1213</v>
      </c>
      <c r="L35" s="655">
        <v>91</v>
      </c>
      <c r="M35" s="657">
        <v>13655</v>
      </c>
      <c r="N35" s="654">
        <f t="shared" si="0"/>
        <v>527</v>
      </c>
      <c r="O35" s="654">
        <f t="shared" si="1"/>
        <v>1976</v>
      </c>
      <c r="P35" s="654">
        <f t="shared" si="2"/>
        <v>11152</v>
      </c>
      <c r="Q35" s="594">
        <f t="shared" si="3"/>
        <v>22350</v>
      </c>
      <c r="R35" s="560">
        <f t="shared" si="4"/>
        <v>1.0255271370081313E-2</v>
      </c>
      <c r="S35" s="654">
        <f t="shared" si="5"/>
        <v>13655</v>
      </c>
      <c r="T35" s="654">
        <f t="shared" si="6"/>
        <v>0</v>
      </c>
    </row>
    <row r="36" spans="1:20">
      <c r="A36" s="653" t="s">
        <v>82</v>
      </c>
      <c r="B36" s="655">
        <v>2826</v>
      </c>
      <c r="C36" s="655">
        <v>31</v>
      </c>
      <c r="D36" s="656">
        <v>0</v>
      </c>
      <c r="E36" s="655">
        <v>500</v>
      </c>
      <c r="F36" s="655">
        <v>16623</v>
      </c>
      <c r="G36" s="655">
        <v>1020</v>
      </c>
      <c r="H36" s="655">
        <v>32369</v>
      </c>
      <c r="I36" s="655">
        <v>0</v>
      </c>
      <c r="J36" s="655">
        <v>91</v>
      </c>
      <c r="K36" s="655">
        <v>1</v>
      </c>
      <c r="L36" s="655">
        <v>588</v>
      </c>
      <c r="M36" s="657">
        <v>54048</v>
      </c>
      <c r="N36" s="654">
        <f t="shared" si="0"/>
        <v>3326</v>
      </c>
      <c r="O36" s="654">
        <f t="shared" si="1"/>
        <v>17674</v>
      </c>
      <c r="P36" s="654">
        <f t="shared" si="2"/>
        <v>33049</v>
      </c>
      <c r="Q36" s="594">
        <f t="shared" si="3"/>
        <v>119331</v>
      </c>
      <c r="R36" s="560">
        <f t="shared" si="4"/>
        <v>5.4754889837278442E-2</v>
      </c>
      <c r="S36" s="654">
        <f t="shared" si="5"/>
        <v>54049</v>
      </c>
      <c r="T36" s="654">
        <f t="shared" si="6"/>
        <v>1</v>
      </c>
    </row>
    <row r="37" spans="1:20">
      <c r="A37" s="653" t="s">
        <v>54</v>
      </c>
      <c r="B37" s="655">
        <v>1047</v>
      </c>
      <c r="C37" s="655">
        <v>0</v>
      </c>
      <c r="D37" s="656">
        <v>0</v>
      </c>
      <c r="E37" s="655">
        <v>51</v>
      </c>
      <c r="F37" s="655">
        <v>3543</v>
      </c>
      <c r="G37" s="655">
        <v>564</v>
      </c>
      <c r="H37" s="655">
        <v>13946</v>
      </c>
      <c r="I37" s="655">
        <v>333</v>
      </c>
      <c r="J37" s="655">
        <v>1488</v>
      </c>
      <c r="K37" s="655">
        <v>639</v>
      </c>
      <c r="L37" s="655">
        <v>37</v>
      </c>
      <c r="M37" s="657">
        <v>21648</v>
      </c>
      <c r="N37" s="654">
        <f t="shared" si="0"/>
        <v>1098</v>
      </c>
      <c r="O37" s="654">
        <f>SUM(C37+D37+F37+G37)</f>
        <v>4107</v>
      </c>
      <c r="P37" s="654">
        <f t="shared" si="2"/>
        <v>16443</v>
      </c>
      <c r="Q37" s="594">
        <f t="shared" si="3"/>
        <v>39744</v>
      </c>
      <c r="R37" s="560">
        <f t="shared" si="4"/>
        <v>1.8236487934340569E-2</v>
      </c>
      <c r="S37" s="654">
        <f t="shared" si="5"/>
        <v>21648</v>
      </c>
      <c r="T37" s="654">
        <f t="shared" si="6"/>
        <v>0</v>
      </c>
    </row>
    <row r="38" spans="1:20">
      <c r="A38" s="653" t="s">
        <v>321</v>
      </c>
      <c r="B38" s="655">
        <v>1442</v>
      </c>
      <c r="C38" s="655">
        <v>0</v>
      </c>
      <c r="D38" s="656">
        <v>0</v>
      </c>
      <c r="E38" s="655">
        <v>122</v>
      </c>
      <c r="F38" s="655">
        <v>5925</v>
      </c>
      <c r="G38" s="655">
        <v>592</v>
      </c>
      <c r="H38" s="655">
        <v>27007</v>
      </c>
      <c r="I38" s="655">
        <v>0</v>
      </c>
      <c r="J38" s="655">
        <v>69</v>
      </c>
      <c r="K38" s="655">
        <v>661</v>
      </c>
      <c r="L38" s="655">
        <v>210</v>
      </c>
      <c r="M38" s="657">
        <v>36027</v>
      </c>
      <c r="N38" s="654">
        <f t="shared" si="0"/>
        <v>1564</v>
      </c>
      <c r="O38" s="654">
        <f t="shared" si="1"/>
        <v>6517</v>
      </c>
      <c r="P38" s="654">
        <f t="shared" si="2"/>
        <v>27947</v>
      </c>
      <c r="Q38" s="594">
        <f t="shared" si="3"/>
        <v>63138</v>
      </c>
      <c r="R38" s="560">
        <f t="shared" si="4"/>
        <v>2.8970797483856552E-2</v>
      </c>
      <c r="S38" s="654">
        <f t="shared" si="5"/>
        <v>36028</v>
      </c>
      <c r="T38" s="654">
        <f t="shared" si="6"/>
        <v>1</v>
      </c>
    </row>
    <row r="39" spans="1:20">
      <c r="A39" s="653" t="s">
        <v>42</v>
      </c>
      <c r="B39" s="655">
        <v>230</v>
      </c>
      <c r="C39" s="655">
        <v>0</v>
      </c>
      <c r="D39" s="656">
        <v>0</v>
      </c>
      <c r="E39" s="655">
        <v>44</v>
      </c>
      <c r="F39" s="655">
        <v>1325</v>
      </c>
      <c r="G39" s="655">
        <v>31</v>
      </c>
      <c r="H39" s="655">
        <v>9440</v>
      </c>
      <c r="I39" s="655">
        <v>39</v>
      </c>
      <c r="J39" s="655">
        <v>169</v>
      </c>
      <c r="K39" s="655">
        <v>472</v>
      </c>
      <c r="L39" s="655">
        <v>107</v>
      </c>
      <c r="M39" s="657">
        <v>11857</v>
      </c>
      <c r="N39" s="654">
        <f t="shared" si="0"/>
        <v>274</v>
      </c>
      <c r="O39" s="654">
        <f t="shared" si="1"/>
        <v>1356</v>
      </c>
      <c r="P39" s="654">
        <f t="shared" si="2"/>
        <v>10227</v>
      </c>
      <c r="Q39" s="594">
        <f t="shared" si="3"/>
        <v>17035</v>
      </c>
      <c r="R39" s="560">
        <f t="shared" si="4"/>
        <v>7.8164898339747272E-3</v>
      </c>
      <c r="S39" s="654">
        <f t="shared" si="5"/>
        <v>11857</v>
      </c>
      <c r="T39" s="654">
        <f t="shared" si="6"/>
        <v>0</v>
      </c>
    </row>
    <row r="40" spans="1:20">
      <c r="A40" s="653" t="s">
        <v>83</v>
      </c>
      <c r="B40" s="655">
        <v>1458</v>
      </c>
      <c r="C40" s="655">
        <v>0</v>
      </c>
      <c r="D40" s="656">
        <v>1649</v>
      </c>
      <c r="E40" s="655">
        <v>95</v>
      </c>
      <c r="F40" s="655">
        <v>3644</v>
      </c>
      <c r="G40" s="655">
        <v>200</v>
      </c>
      <c r="H40" s="655">
        <v>11458</v>
      </c>
      <c r="I40" s="655">
        <v>0</v>
      </c>
      <c r="J40" s="655">
        <v>180</v>
      </c>
      <c r="K40" s="655">
        <v>56</v>
      </c>
      <c r="L40" s="655">
        <v>2</v>
      </c>
      <c r="M40" s="657">
        <v>18741</v>
      </c>
      <c r="N40" s="654">
        <f t="shared" si="0"/>
        <v>1553</v>
      </c>
      <c r="O40" s="654">
        <f t="shared" si="1"/>
        <v>5493</v>
      </c>
      <c r="P40" s="654">
        <f t="shared" si="2"/>
        <v>11696</v>
      </c>
      <c r="Q40" s="594">
        <f t="shared" si="3"/>
        <v>43705</v>
      </c>
      <c r="R40" s="560">
        <f t="shared" si="4"/>
        <v>2.0053988153440883E-2</v>
      </c>
      <c r="S40" s="654">
        <f t="shared" si="5"/>
        <v>18742</v>
      </c>
      <c r="T40" s="654">
        <f t="shared" si="6"/>
        <v>1</v>
      </c>
    </row>
    <row r="41" spans="1:20">
      <c r="A41" s="653" t="s">
        <v>23</v>
      </c>
      <c r="B41" s="655">
        <v>1143</v>
      </c>
      <c r="C41" s="655">
        <v>0</v>
      </c>
      <c r="D41" s="656">
        <v>0</v>
      </c>
      <c r="E41" s="655">
        <v>93</v>
      </c>
      <c r="F41" s="655">
        <v>4624</v>
      </c>
      <c r="G41" s="655">
        <v>326</v>
      </c>
      <c r="H41" s="655">
        <v>18821</v>
      </c>
      <c r="I41" s="655">
        <v>0</v>
      </c>
      <c r="J41" s="655">
        <v>195</v>
      </c>
      <c r="K41" s="655">
        <v>264</v>
      </c>
      <c r="L41" s="655">
        <v>463</v>
      </c>
      <c r="M41" s="657">
        <v>25931</v>
      </c>
      <c r="N41" s="654">
        <f t="shared" si="0"/>
        <v>1236</v>
      </c>
      <c r="O41" s="654">
        <f t="shared" si="1"/>
        <v>4950</v>
      </c>
      <c r="P41" s="654">
        <f t="shared" si="2"/>
        <v>19743</v>
      </c>
      <c r="Q41" s="594">
        <f t="shared" si="3"/>
        <v>46953</v>
      </c>
      <c r="R41" s="560">
        <f t="shared" si="4"/>
        <v>2.1544329156126526E-2</v>
      </c>
      <c r="S41" s="654">
        <f t="shared" si="5"/>
        <v>25929</v>
      </c>
      <c r="T41" s="654">
        <f t="shared" si="6"/>
        <v>-2</v>
      </c>
    </row>
    <row r="42" spans="1:20">
      <c r="A42" s="653" t="s">
        <v>33</v>
      </c>
      <c r="B42" s="655">
        <v>408</v>
      </c>
      <c r="C42" s="655">
        <v>0</v>
      </c>
      <c r="D42" s="656">
        <v>0</v>
      </c>
      <c r="E42" s="655">
        <v>47</v>
      </c>
      <c r="F42" s="655">
        <v>3264</v>
      </c>
      <c r="G42" s="655">
        <v>349</v>
      </c>
      <c r="H42" s="655">
        <v>15815</v>
      </c>
      <c r="I42" s="655">
        <v>0</v>
      </c>
      <c r="J42" s="655">
        <v>1136</v>
      </c>
      <c r="K42" s="655">
        <v>17</v>
      </c>
      <c r="L42" s="655">
        <v>201</v>
      </c>
      <c r="M42" s="657">
        <v>21235</v>
      </c>
      <c r="N42" s="654">
        <f t="shared" si="0"/>
        <v>455</v>
      </c>
      <c r="O42" s="654">
        <f t="shared" si="1"/>
        <v>3613</v>
      </c>
      <c r="P42" s="654">
        <f t="shared" si="2"/>
        <v>17169</v>
      </c>
      <c r="Q42" s="594">
        <f t="shared" si="3"/>
        <v>32558</v>
      </c>
      <c r="R42" s="560">
        <f t="shared" si="4"/>
        <v>1.493920023566476E-2</v>
      </c>
      <c r="S42" s="654">
        <f t="shared" si="5"/>
        <v>21237</v>
      </c>
      <c r="T42" s="654">
        <f t="shared" si="6"/>
        <v>2</v>
      </c>
    </row>
    <row r="43" spans="1:20">
      <c r="A43" s="653" t="s">
        <v>322</v>
      </c>
      <c r="B43" s="655">
        <v>867</v>
      </c>
      <c r="C43" s="655">
        <v>0</v>
      </c>
      <c r="D43" s="656">
        <v>0</v>
      </c>
      <c r="E43" s="655">
        <v>182</v>
      </c>
      <c r="F43" s="655">
        <v>4381</v>
      </c>
      <c r="G43" s="655">
        <v>394</v>
      </c>
      <c r="H43" s="655">
        <v>28331</v>
      </c>
      <c r="I43" s="655">
        <v>20</v>
      </c>
      <c r="J43" s="655">
        <v>1574</v>
      </c>
      <c r="K43" s="655">
        <v>850</v>
      </c>
      <c r="L43" s="655">
        <v>164</v>
      </c>
      <c r="M43" s="657">
        <v>36764</v>
      </c>
      <c r="N43" s="654">
        <f t="shared" si="0"/>
        <v>1049</v>
      </c>
      <c r="O43" s="654">
        <f t="shared" si="1"/>
        <v>4775</v>
      </c>
      <c r="P43" s="654">
        <f t="shared" si="2"/>
        <v>30939</v>
      </c>
      <c r="Q43" s="594">
        <f>(10*N43)+(3*O43)+P43</f>
        <v>55754</v>
      </c>
      <c r="R43" s="560">
        <f>SUM(Q43/($Q$45+$Q$57))</f>
        <v>2.5582657716667272E-2</v>
      </c>
      <c r="S43" s="654">
        <f t="shared" si="5"/>
        <v>36763</v>
      </c>
      <c r="T43" s="654">
        <f t="shared" si="6"/>
        <v>-1</v>
      </c>
    </row>
    <row r="44" spans="1:20">
      <c r="A44" s="653"/>
      <c r="B44" s="655"/>
      <c r="C44" s="655"/>
      <c r="D44" s="656"/>
      <c r="E44" s="655"/>
      <c r="F44" s="655"/>
      <c r="G44" s="655"/>
      <c r="H44" s="655"/>
      <c r="I44" s="655"/>
      <c r="J44" s="655"/>
      <c r="K44" s="655"/>
      <c r="L44" s="655"/>
      <c r="M44" s="657"/>
    </row>
    <row r="45" spans="1:20">
      <c r="A45" s="629" t="s">
        <v>331</v>
      </c>
      <c r="B45" s="658">
        <f>SUM(B5:B43)</f>
        <v>40668</v>
      </c>
      <c r="C45" s="658">
        <f>SUM(C5:C43)</f>
        <v>82</v>
      </c>
      <c r="D45" s="658">
        <f>SUM(D5:D43)</f>
        <v>7575</v>
      </c>
      <c r="E45" s="658">
        <f>SUM(E5:E43)</f>
        <v>4166</v>
      </c>
      <c r="F45" s="658">
        <f>SUM(F5:F43)</f>
        <v>199119</v>
      </c>
      <c r="G45" s="658">
        <f>SUM(G5:G43)</f>
        <v>21215</v>
      </c>
      <c r="H45" s="658">
        <f>SUM(H5:H43)</f>
        <v>735422</v>
      </c>
      <c r="I45" s="658">
        <f>SUM(I5:I43)</f>
        <v>6798</v>
      </c>
      <c r="J45" s="658">
        <f>SUM(J5:J43)</f>
        <v>13815</v>
      </c>
      <c r="K45" s="658">
        <f>SUM(K5:K43)</f>
        <v>14821</v>
      </c>
      <c r="L45" s="658">
        <f>SUM(L5:L43)</f>
        <v>7553</v>
      </c>
      <c r="M45" s="658">
        <f>SUM(M5:M43)</f>
        <v>1051219</v>
      </c>
      <c r="N45" s="658">
        <f>SUM(N5:N43)</f>
        <v>44834</v>
      </c>
      <c r="O45" s="658">
        <f>SUM(O5:O43)</f>
        <v>227991</v>
      </c>
      <c r="P45" s="658">
        <f>SUM(P5:P43)</f>
        <v>778409</v>
      </c>
      <c r="Q45" s="658">
        <f t="shared" ref="N45:T45" si="7">SUM(Q5:Q43)</f>
        <v>1910722</v>
      </c>
      <c r="R45" s="659">
        <f t="shared" si="7"/>
        <v>0.87673255582928433</v>
      </c>
      <c r="S45" s="660">
        <f>SUM(S5:S43)</f>
        <v>1051234</v>
      </c>
      <c r="T45" s="660">
        <f t="shared" si="7"/>
        <v>15</v>
      </c>
    </row>
    <row r="46" spans="1:20">
      <c r="A46" s="661" t="s">
        <v>346</v>
      </c>
      <c r="B46" s="660">
        <v>41493</v>
      </c>
      <c r="C46" s="660">
        <v>222</v>
      </c>
      <c r="D46" s="660">
        <v>7199</v>
      </c>
      <c r="E46" s="660">
        <v>4390</v>
      </c>
      <c r="F46" s="660">
        <v>202062</v>
      </c>
      <c r="G46" s="660">
        <v>27158</v>
      </c>
      <c r="H46" s="660">
        <v>760687</v>
      </c>
      <c r="I46" s="660">
        <v>7737</v>
      </c>
      <c r="J46" s="660">
        <v>36605</v>
      </c>
      <c r="K46" s="660">
        <v>14250</v>
      </c>
      <c r="L46" s="660">
        <v>7501</v>
      </c>
      <c r="M46" s="660">
        <v>1109303</v>
      </c>
      <c r="N46" s="662"/>
      <c r="O46" s="662"/>
      <c r="P46" s="662"/>
      <c r="Q46" s="662"/>
      <c r="R46" s="662"/>
      <c r="S46" s="662"/>
      <c r="T46" s="662"/>
    </row>
    <row r="47" spans="1:20">
      <c r="A47" s="661" t="s">
        <v>347</v>
      </c>
      <c r="B47" s="663">
        <f>(B45-B46)/B45</f>
        <v>-2.0286220123930363E-2</v>
      </c>
      <c r="C47" s="663">
        <f>(C45-C46)/C45</f>
        <v>-1.7073170731707317</v>
      </c>
      <c r="D47" s="663">
        <f t="shared" ref="D47:M47" si="8">(D45-D46)/D45</f>
        <v>4.9636963696369635E-2</v>
      </c>
      <c r="E47" s="663">
        <f t="shared" si="8"/>
        <v>-5.3768602976476239E-2</v>
      </c>
      <c r="F47" s="663">
        <f t="shared" si="8"/>
        <v>-1.4780106368553479E-2</v>
      </c>
      <c r="G47" s="663">
        <f t="shared" si="8"/>
        <v>-0.28013198208814516</v>
      </c>
      <c r="H47" s="663">
        <f t="shared" si="8"/>
        <v>-3.4354425078390365E-2</v>
      </c>
      <c r="I47" s="663">
        <f t="shared" si="8"/>
        <v>-0.1381288614298323</v>
      </c>
      <c r="J47" s="663">
        <f t="shared" si="8"/>
        <v>-1.6496561708288093</v>
      </c>
      <c r="K47" s="663">
        <f t="shared" si="8"/>
        <v>3.8526415221644961E-2</v>
      </c>
      <c r="L47" s="663">
        <f t="shared" si="8"/>
        <v>6.8846815834767644E-3</v>
      </c>
      <c r="M47" s="663">
        <f t="shared" si="8"/>
        <v>-5.5253948035566325E-2</v>
      </c>
      <c r="N47" s="662"/>
      <c r="O47" s="662"/>
      <c r="P47" s="662"/>
      <c r="Q47" s="662"/>
      <c r="R47" s="662"/>
      <c r="S47" s="662"/>
      <c r="T47" s="662"/>
    </row>
    <row r="48" spans="1:20">
      <c r="A48" s="664"/>
      <c r="B48" s="665"/>
      <c r="C48" s="665"/>
      <c r="D48" s="665"/>
      <c r="E48" s="665"/>
      <c r="F48" s="665"/>
      <c r="G48" s="665"/>
      <c r="H48" s="665"/>
      <c r="I48" s="665"/>
      <c r="J48" s="665"/>
      <c r="K48" s="665"/>
      <c r="L48" s="665"/>
      <c r="M48" s="665"/>
      <c r="N48" s="662"/>
      <c r="O48" s="662"/>
      <c r="P48" s="662"/>
      <c r="Q48" s="662"/>
      <c r="R48" s="662"/>
      <c r="S48" s="662"/>
      <c r="T48" s="662"/>
    </row>
    <row r="49" spans="1:20" s="671" customFormat="1">
      <c r="A49" s="666" t="s">
        <v>126</v>
      </c>
      <c r="B49" s="667"/>
      <c r="C49" s="667"/>
      <c r="D49" s="667"/>
      <c r="E49" s="667"/>
      <c r="F49" s="667"/>
      <c r="G49" s="667"/>
      <c r="H49" s="667"/>
      <c r="I49" s="667"/>
      <c r="J49" s="667"/>
      <c r="K49" s="667"/>
      <c r="L49" s="667"/>
      <c r="M49" s="668">
        <v>20270</v>
      </c>
      <c r="N49" s="667">
        <v>760</v>
      </c>
      <c r="O49" s="667">
        <v>3395</v>
      </c>
      <c r="P49" s="667">
        <v>16115</v>
      </c>
      <c r="Q49" s="667">
        <f>(10*N49)+(3*O49)+P49</f>
        <v>33900</v>
      </c>
      <c r="R49" s="669">
        <f t="shared" ref="R49:R56" si="9">SUM(Q49/($Q$45+$Q$57))</f>
        <v>1.5554975366700514E-2</v>
      </c>
      <c r="S49" s="667">
        <f>SUM(N49:P49)</f>
        <v>20270</v>
      </c>
      <c r="T49" s="670">
        <f>S49-M49</f>
        <v>0</v>
      </c>
    </row>
    <row r="50" spans="1:20" s="671" customFormat="1">
      <c r="A50" s="666" t="s">
        <v>124</v>
      </c>
      <c r="B50" s="667"/>
      <c r="C50" s="667"/>
      <c r="D50" s="667"/>
      <c r="E50" s="667"/>
      <c r="F50" s="667"/>
      <c r="G50" s="667"/>
      <c r="H50" s="667"/>
      <c r="I50" s="667"/>
      <c r="J50" s="667"/>
      <c r="K50" s="667"/>
      <c r="L50" s="667"/>
      <c r="M50" s="668">
        <v>2520</v>
      </c>
      <c r="N50" s="667">
        <v>235</v>
      </c>
      <c r="O50" s="667">
        <v>500</v>
      </c>
      <c r="P50" s="667">
        <v>1785</v>
      </c>
      <c r="Q50" s="667">
        <f>(10*N50)+(3*O50)+P50</f>
        <v>5635</v>
      </c>
      <c r="R50" s="669">
        <f t="shared" si="9"/>
        <v>2.5856131619869439E-3</v>
      </c>
      <c r="S50" s="667">
        <f>SUM(N50:P50)</f>
        <v>2520</v>
      </c>
      <c r="T50" s="670">
        <f t="shared" ref="T50:T56" si="10">S50-M50</f>
        <v>0</v>
      </c>
    </row>
    <row r="51" spans="1:20" s="671" customFormat="1">
      <c r="A51" s="666" t="s">
        <v>121</v>
      </c>
      <c r="B51" s="667"/>
      <c r="C51" s="667"/>
      <c r="D51" s="667"/>
      <c r="E51" s="667"/>
      <c r="F51" s="667"/>
      <c r="G51" s="667"/>
      <c r="H51" s="667"/>
      <c r="I51" s="667"/>
      <c r="J51" s="667"/>
      <c r="K51" s="667"/>
      <c r="L51" s="667"/>
      <c r="M51" s="668">
        <v>18830</v>
      </c>
      <c r="N51" s="667">
        <v>910</v>
      </c>
      <c r="O51" s="667">
        <v>4535</v>
      </c>
      <c r="P51" s="667">
        <v>13385</v>
      </c>
      <c r="Q51" s="667">
        <f t="shared" ref="Q51:Q54" si="11">(10*N51)+(3*O51)+P51</f>
        <v>36090</v>
      </c>
      <c r="R51" s="669">
        <f t="shared" si="9"/>
        <v>1.6559854306319219E-2</v>
      </c>
      <c r="S51" s="667">
        <f t="shared" ref="S51:S56" si="12">SUM(N51:P51)</f>
        <v>18830</v>
      </c>
      <c r="T51" s="670">
        <f t="shared" si="10"/>
        <v>0</v>
      </c>
    </row>
    <row r="52" spans="1:20" s="671" customFormat="1">
      <c r="A52" s="666" t="s">
        <v>112</v>
      </c>
      <c r="B52" s="667"/>
      <c r="C52" s="667"/>
      <c r="D52" s="667"/>
      <c r="E52" s="667"/>
      <c r="F52" s="667"/>
      <c r="G52" s="667"/>
      <c r="H52" s="667"/>
      <c r="I52" s="667"/>
      <c r="J52" s="667"/>
      <c r="K52" s="667"/>
      <c r="L52" s="667"/>
      <c r="M52" s="668">
        <v>34200</v>
      </c>
      <c r="N52" s="667">
        <v>2260</v>
      </c>
      <c r="O52" s="667">
        <v>9340</v>
      </c>
      <c r="P52" s="667">
        <v>22600</v>
      </c>
      <c r="Q52" s="667">
        <f t="shared" si="11"/>
        <v>73220</v>
      </c>
      <c r="R52" s="669">
        <f t="shared" si="9"/>
        <v>3.3596911396749606E-2</v>
      </c>
      <c r="S52" s="667">
        <f t="shared" si="12"/>
        <v>34200</v>
      </c>
      <c r="T52" s="670">
        <f t="shared" si="10"/>
        <v>0</v>
      </c>
    </row>
    <row r="53" spans="1:20" s="671" customFormat="1">
      <c r="A53" s="666" t="s">
        <v>123</v>
      </c>
      <c r="B53" s="667"/>
      <c r="C53" s="667"/>
      <c r="D53" s="667"/>
      <c r="E53" s="667"/>
      <c r="F53" s="667"/>
      <c r="G53" s="667"/>
      <c r="H53" s="667"/>
      <c r="I53" s="667"/>
      <c r="J53" s="667"/>
      <c r="K53" s="667"/>
      <c r="L53" s="667"/>
      <c r="M53" s="668">
        <v>14890</v>
      </c>
      <c r="N53" s="667">
        <v>885</v>
      </c>
      <c r="O53" s="667">
        <v>4875</v>
      </c>
      <c r="P53" s="667">
        <v>9125</v>
      </c>
      <c r="Q53" s="667">
        <f t="shared" si="11"/>
        <v>32600</v>
      </c>
      <c r="R53" s="669">
        <f t="shared" si="9"/>
        <v>1.4958471886561556E-2</v>
      </c>
      <c r="S53" s="667">
        <f t="shared" si="12"/>
        <v>14885</v>
      </c>
      <c r="T53" s="670">
        <f t="shared" si="10"/>
        <v>-5</v>
      </c>
    </row>
    <row r="54" spans="1:20" s="671" customFormat="1">
      <c r="A54" s="666" t="s">
        <v>125</v>
      </c>
      <c r="B54" s="667"/>
      <c r="C54" s="667"/>
      <c r="D54" s="667"/>
      <c r="E54" s="667"/>
      <c r="F54" s="667"/>
      <c r="G54" s="667"/>
      <c r="H54" s="667"/>
      <c r="I54" s="667"/>
      <c r="J54" s="667"/>
      <c r="K54" s="667"/>
      <c r="L54" s="667"/>
      <c r="M54" s="668">
        <v>18900</v>
      </c>
      <c r="N54" s="667">
        <v>1295</v>
      </c>
      <c r="O54" s="667">
        <v>2190</v>
      </c>
      <c r="P54" s="667">
        <v>15420</v>
      </c>
      <c r="Q54" s="667">
        <f t="shared" si="11"/>
        <v>34940</v>
      </c>
      <c r="R54" s="669">
        <f t="shared" si="9"/>
        <v>1.603217815081168E-2</v>
      </c>
      <c r="S54" s="667">
        <f t="shared" si="12"/>
        <v>18905</v>
      </c>
      <c r="T54" s="670">
        <f t="shared" si="10"/>
        <v>5</v>
      </c>
    </row>
    <row r="55" spans="1:20" s="671" customFormat="1">
      <c r="A55" s="666" t="s">
        <v>120</v>
      </c>
      <c r="B55" s="667"/>
      <c r="C55" s="667"/>
      <c r="D55" s="667"/>
      <c r="E55" s="667"/>
      <c r="F55" s="667"/>
      <c r="G55" s="667"/>
      <c r="H55" s="667"/>
      <c r="I55" s="667"/>
      <c r="J55" s="667"/>
      <c r="K55" s="667"/>
      <c r="L55" s="667"/>
      <c r="M55" s="668">
        <v>10610</v>
      </c>
      <c r="N55" s="667">
        <v>515</v>
      </c>
      <c r="O55" s="667">
        <v>2545</v>
      </c>
      <c r="P55" s="667">
        <v>7550</v>
      </c>
      <c r="Q55" s="667">
        <f>(10*N55)+(3*O55)+P55</f>
        <v>20335</v>
      </c>
      <c r="R55" s="669">
        <f t="shared" si="9"/>
        <v>9.3306909758659289E-3</v>
      </c>
      <c r="S55" s="667">
        <f t="shared" si="12"/>
        <v>10610</v>
      </c>
      <c r="T55" s="670">
        <f t="shared" si="10"/>
        <v>0</v>
      </c>
    </row>
    <row r="56" spans="1:20" s="671" customFormat="1">
      <c r="A56" s="666" t="s">
        <v>122</v>
      </c>
      <c r="B56" s="667"/>
      <c r="C56" s="667"/>
      <c r="D56" s="667"/>
      <c r="E56" s="667"/>
      <c r="F56" s="667"/>
      <c r="G56" s="667"/>
      <c r="H56" s="667"/>
      <c r="I56" s="667"/>
      <c r="J56" s="667"/>
      <c r="K56" s="667"/>
      <c r="L56" s="667"/>
      <c r="M56" s="668">
        <v>17970</v>
      </c>
      <c r="N56" s="667">
        <v>890</v>
      </c>
      <c r="O56" s="667">
        <v>2975</v>
      </c>
      <c r="P56" s="667">
        <v>14100</v>
      </c>
      <c r="Q56" s="667">
        <f t="shared" ref="Q56" si="13">(10*N56)+(3*O56)+P56</f>
        <v>31925</v>
      </c>
      <c r="R56" s="669">
        <f t="shared" si="9"/>
        <v>1.4648748925720175E-2</v>
      </c>
      <c r="S56" s="667">
        <f t="shared" si="12"/>
        <v>17965</v>
      </c>
      <c r="T56" s="670">
        <f t="shared" si="10"/>
        <v>-5</v>
      </c>
    </row>
    <row r="57" spans="1:20" s="671" customFormat="1">
      <c r="A57" s="672" t="s">
        <v>332</v>
      </c>
      <c r="B57" s="673"/>
      <c r="C57" s="673"/>
      <c r="D57" s="673"/>
      <c r="E57" s="673"/>
      <c r="F57" s="673"/>
      <c r="G57" s="673"/>
      <c r="H57" s="673"/>
      <c r="I57" s="673"/>
      <c r="J57" s="673"/>
      <c r="K57" s="673"/>
      <c r="L57" s="673"/>
      <c r="M57" s="673">
        <f t="shared" ref="M57:S57" si="14">SUM(M49:M56)</f>
        <v>138190</v>
      </c>
      <c r="N57" s="673">
        <f t="shared" si="14"/>
        <v>7750</v>
      </c>
      <c r="O57" s="673">
        <f t="shared" si="14"/>
        <v>30355</v>
      </c>
      <c r="P57" s="673">
        <f t="shared" si="14"/>
        <v>100080</v>
      </c>
      <c r="Q57" s="673">
        <f t="shared" si="14"/>
        <v>268645</v>
      </c>
      <c r="R57" s="674">
        <f t="shared" si="14"/>
        <v>0.12326744417071563</v>
      </c>
      <c r="S57" s="667">
        <f t="shared" si="14"/>
        <v>138185</v>
      </c>
      <c r="T57" s="667">
        <f t="shared" ref="T57" si="15">SUM(T49:T56)</f>
        <v>-5</v>
      </c>
    </row>
    <row r="58" spans="1:20">
      <c r="A58" s="675"/>
      <c r="B58" s="676"/>
      <c r="C58" s="676"/>
      <c r="D58" s="676"/>
      <c r="E58" s="676"/>
      <c r="F58" s="676"/>
      <c r="G58" s="676"/>
      <c r="H58" s="676"/>
      <c r="I58" s="676"/>
      <c r="J58" s="676"/>
      <c r="K58" s="676"/>
      <c r="L58" s="676"/>
      <c r="M58" s="676"/>
      <c r="N58" s="676"/>
      <c r="O58" s="676"/>
      <c r="P58" s="676"/>
      <c r="Q58" s="676"/>
      <c r="R58" s="676"/>
      <c r="S58" s="676"/>
      <c r="T58" s="676"/>
    </row>
    <row r="59" spans="1:20" s="671" customFormat="1">
      <c r="A59" s="677" t="s">
        <v>132</v>
      </c>
      <c r="B59" s="678"/>
      <c r="C59" s="678"/>
      <c r="D59" s="679"/>
      <c r="E59" s="678"/>
      <c r="F59" s="678"/>
      <c r="G59" s="678"/>
      <c r="H59" s="678"/>
      <c r="I59" s="678"/>
      <c r="J59" s="678"/>
      <c r="K59" s="678"/>
      <c r="L59" s="678"/>
      <c r="M59" s="678">
        <f>SUM(M45,M57)</f>
        <v>1189409</v>
      </c>
      <c r="N59" s="678">
        <f t="shared" ref="N59:S59" si="16">SUM(N45,N57)</f>
        <v>52584</v>
      </c>
      <c r="O59" s="678">
        <f t="shared" si="16"/>
        <v>258346</v>
      </c>
      <c r="P59" s="678">
        <f t="shared" si="16"/>
        <v>878489</v>
      </c>
      <c r="Q59" s="678">
        <f t="shared" si="16"/>
        <v>2179367</v>
      </c>
      <c r="R59" s="680">
        <f t="shared" si="16"/>
        <v>1</v>
      </c>
      <c r="S59" s="667">
        <f t="shared" si="16"/>
        <v>1189419</v>
      </c>
      <c r="T59" s="667">
        <f t="shared" ref="T59" si="17">SUM(T45,T57)</f>
        <v>10</v>
      </c>
    </row>
    <row r="60" spans="1:20">
      <c r="A60" s="681"/>
      <c r="B60" s="662"/>
      <c r="C60" s="662"/>
      <c r="D60" s="682"/>
      <c r="E60" s="662"/>
      <c r="F60" s="662"/>
      <c r="G60" s="662"/>
      <c r="H60" s="662"/>
      <c r="I60" s="662"/>
      <c r="J60" s="662"/>
      <c r="K60" s="662"/>
      <c r="L60" s="662"/>
      <c r="M60" s="662"/>
      <c r="N60" s="662"/>
      <c r="O60" s="662"/>
      <c r="P60" s="662"/>
      <c r="Q60" s="662"/>
      <c r="R60" s="662"/>
      <c r="S60" s="662"/>
      <c r="T60" s="662"/>
    </row>
    <row r="61" spans="1:20">
      <c r="A61" s="661" t="s">
        <v>327</v>
      </c>
      <c r="B61" s="662"/>
      <c r="C61" s="662"/>
      <c r="D61" s="682"/>
      <c r="E61" s="662"/>
      <c r="F61" s="662"/>
      <c r="G61" s="662"/>
      <c r="H61" s="662"/>
      <c r="I61" s="662"/>
      <c r="J61" s="662"/>
      <c r="K61" s="662"/>
      <c r="L61" s="662"/>
      <c r="M61" s="662"/>
      <c r="N61" s="662"/>
      <c r="O61" s="662"/>
      <c r="P61" s="662"/>
      <c r="Q61" s="662"/>
      <c r="R61" s="662"/>
      <c r="S61" s="662"/>
      <c r="T61" s="662"/>
    </row>
    <row r="62" spans="1:20">
      <c r="A62" s="661" t="s">
        <v>328</v>
      </c>
      <c r="B62" s="662"/>
      <c r="C62" s="662"/>
      <c r="D62" s="682"/>
      <c r="E62" s="662"/>
      <c r="F62" s="662"/>
      <c r="G62" s="662"/>
      <c r="H62" s="662"/>
      <c r="I62" s="662"/>
      <c r="J62" s="662"/>
      <c r="K62" s="662"/>
      <c r="L62" s="662"/>
      <c r="M62" s="662"/>
      <c r="N62" s="662"/>
      <c r="O62" s="662"/>
      <c r="P62" s="662"/>
      <c r="Q62" s="662"/>
      <c r="R62" s="662"/>
      <c r="S62" s="662"/>
      <c r="T62" s="662"/>
    </row>
    <row r="63" spans="1:20">
      <c r="A63" s="661" t="s">
        <v>313</v>
      </c>
      <c r="B63" s="662"/>
      <c r="C63" s="662"/>
      <c r="D63" s="682"/>
      <c r="E63" s="662"/>
      <c r="F63" s="662"/>
      <c r="G63" s="662"/>
      <c r="H63" s="662"/>
      <c r="I63" s="662"/>
      <c r="J63" s="662"/>
      <c r="K63" s="662"/>
      <c r="L63" s="662"/>
      <c r="M63" s="662"/>
      <c r="N63" s="662"/>
      <c r="O63" s="662"/>
      <c r="P63" s="662"/>
      <c r="Q63" s="662"/>
      <c r="R63" s="662"/>
      <c r="S63" s="662"/>
      <c r="T63" s="662"/>
    </row>
    <row r="64" spans="1:20">
      <c r="A64" s="664"/>
      <c r="B64" s="662"/>
      <c r="C64" s="662"/>
      <c r="D64" s="682"/>
      <c r="E64" s="662"/>
      <c r="F64" s="662"/>
      <c r="G64" s="662"/>
      <c r="H64" s="662"/>
      <c r="I64" s="662"/>
      <c r="J64" s="662"/>
      <c r="K64" s="662"/>
      <c r="L64" s="662"/>
      <c r="M64" s="662"/>
      <c r="N64" s="662"/>
      <c r="O64" s="662"/>
      <c r="P64" s="662"/>
      <c r="Q64" s="662"/>
      <c r="R64" s="662"/>
      <c r="S64" s="662"/>
      <c r="T64" s="662"/>
    </row>
  </sheetData>
  <autoFilter ref="A4:M4" xr:uid="{37651716-FA10-EA44-8D82-731A54F84B9F}"/>
  <hyperlinks>
    <hyperlink ref="A1" location="Index!A1" display="&lt; Back to Contents &gt;" xr:uid="{74973281-FE6D-B644-AA40-AAE07E13ACFF}"/>
    <hyperlink ref="S1" location="'Ave weight 2018-2019'!A1" display="Ave weight 2017-2018" xr:uid="{25BBE94F-21AC-6541-8BA5-7209D9812F49}"/>
  </hyperlinks>
  <pageMargins left="0.7" right="0.7" top="0.75" bottom="0.75" header="0.3" footer="0.3"/>
  <ignoredErrors>
    <ignoredError sqref="P5:P43 S49:S56"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8FAF-5B0D-46F0-AF03-3A85886D60F9}">
  <dimension ref="A1:T64"/>
  <sheetViews>
    <sheetView zoomScaleNormal="100" workbookViewId="0">
      <selection activeCell="N46" sqref="N46"/>
    </sheetView>
  </sheetViews>
  <sheetFormatPr defaultColWidth="9.140625" defaultRowHeight="11.25"/>
  <cols>
    <col min="1" max="1" width="27.85546875" style="616" customWidth="1"/>
    <col min="2" max="2" width="9.85546875" style="647" customWidth="1"/>
    <col min="3" max="3" width="10.28515625" style="647" customWidth="1"/>
    <col min="4" max="4" width="8.5703125" style="602" customWidth="1"/>
    <col min="5" max="5" width="9.7109375" style="647" customWidth="1"/>
    <col min="6" max="6" width="9.42578125" style="647" customWidth="1"/>
    <col min="7" max="7" width="10.42578125" style="647" customWidth="1"/>
    <col min="8" max="8" width="7.140625" style="647" customWidth="1"/>
    <col min="9" max="9" width="8.140625" style="647" customWidth="1"/>
    <col min="10" max="10" width="11.28515625" style="647" customWidth="1"/>
    <col min="11" max="11" width="6.7109375" style="647" customWidth="1"/>
    <col min="12" max="12" width="9" style="647" customWidth="1"/>
    <col min="13" max="13" width="8.85546875" style="647" bestFit="1" customWidth="1"/>
    <col min="14" max="14" width="7.85546875" style="647" customWidth="1"/>
    <col min="15" max="15" width="10.5703125" style="647" customWidth="1"/>
    <col min="16" max="16" width="6.42578125" style="647" bestFit="1" customWidth="1"/>
    <col min="17" max="20" width="9.28515625" style="647" bestFit="1" customWidth="1"/>
    <col min="21" max="256" width="9.140625" style="647"/>
    <col min="257" max="257" width="64.85546875" style="647" customWidth="1"/>
    <col min="258" max="260" width="11.28515625" style="647" customWidth="1"/>
    <col min="261" max="261" width="10.28515625" style="647" customWidth="1"/>
    <col min="262" max="262" width="11.140625" style="647" customWidth="1"/>
    <col min="263" max="263" width="11.7109375" style="647" customWidth="1"/>
    <col min="264" max="264" width="9.140625" style="647"/>
    <col min="265" max="265" width="9" style="647" customWidth="1"/>
    <col min="266" max="266" width="13.42578125" style="647" customWidth="1"/>
    <col min="267" max="267" width="8.140625" style="647" customWidth="1"/>
    <col min="268" max="269" width="9.42578125" style="647" customWidth="1"/>
    <col min="270" max="512" width="9.140625" style="647"/>
    <col min="513" max="513" width="64.85546875" style="647" customWidth="1"/>
    <col min="514" max="516" width="11.28515625" style="647" customWidth="1"/>
    <col min="517" max="517" width="10.28515625" style="647" customWidth="1"/>
    <col min="518" max="518" width="11.140625" style="647" customWidth="1"/>
    <col min="519" max="519" width="11.7109375" style="647" customWidth="1"/>
    <col min="520" max="520" width="9.140625" style="647"/>
    <col min="521" max="521" width="9" style="647" customWidth="1"/>
    <col min="522" max="522" width="13.42578125" style="647" customWidth="1"/>
    <col min="523" max="523" width="8.140625" style="647" customWidth="1"/>
    <col min="524" max="525" width="9.42578125" style="647" customWidth="1"/>
    <col min="526" max="768" width="9.140625" style="647"/>
    <col min="769" max="769" width="64.85546875" style="647" customWidth="1"/>
    <col min="770" max="772" width="11.28515625" style="647" customWidth="1"/>
    <col min="773" max="773" width="10.28515625" style="647" customWidth="1"/>
    <col min="774" max="774" width="11.140625" style="647" customWidth="1"/>
    <col min="775" max="775" width="11.7109375" style="647" customWidth="1"/>
    <col min="776" max="776" width="9.140625" style="647"/>
    <col min="777" max="777" width="9" style="647" customWidth="1"/>
    <col min="778" max="778" width="13.42578125" style="647" customWidth="1"/>
    <col min="779" max="779" width="8.140625" style="647" customWidth="1"/>
    <col min="780" max="781" width="9.42578125" style="647" customWidth="1"/>
    <col min="782" max="1024" width="9.140625" style="647"/>
    <col min="1025" max="1025" width="64.85546875" style="647" customWidth="1"/>
    <col min="1026" max="1028" width="11.28515625" style="647" customWidth="1"/>
    <col min="1029" max="1029" width="10.28515625" style="647" customWidth="1"/>
    <col min="1030" max="1030" width="11.140625" style="647" customWidth="1"/>
    <col min="1031" max="1031" width="11.7109375" style="647" customWidth="1"/>
    <col min="1032" max="1032" width="9.140625" style="647"/>
    <col min="1033" max="1033" width="9" style="647" customWidth="1"/>
    <col min="1034" max="1034" width="13.42578125" style="647" customWidth="1"/>
    <col min="1035" max="1035" width="8.140625" style="647" customWidth="1"/>
    <col min="1036" max="1037" width="9.42578125" style="647" customWidth="1"/>
    <col min="1038" max="1280" width="9.140625" style="647"/>
    <col min="1281" max="1281" width="64.85546875" style="647" customWidth="1"/>
    <col min="1282" max="1284" width="11.28515625" style="647" customWidth="1"/>
    <col min="1285" max="1285" width="10.28515625" style="647" customWidth="1"/>
    <col min="1286" max="1286" width="11.140625" style="647" customWidth="1"/>
    <col min="1287" max="1287" width="11.7109375" style="647" customWidth="1"/>
    <col min="1288" max="1288" width="9.140625" style="647"/>
    <col min="1289" max="1289" width="9" style="647" customWidth="1"/>
    <col min="1290" max="1290" width="13.42578125" style="647" customWidth="1"/>
    <col min="1291" max="1291" width="8.140625" style="647" customWidth="1"/>
    <col min="1292" max="1293" width="9.42578125" style="647" customWidth="1"/>
    <col min="1294" max="1536" width="9.140625" style="647"/>
    <col min="1537" max="1537" width="64.85546875" style="647" customWidth="1"/>
    <col min="1538" max="1540" width="11.28515625" style="647" customWidth="1"/>
    <col min="1541" max="1541" width="10.28515625" style="647" customWidth="1"/>
    <col min="1542" max="1542" width="11.140625" style="647" customWidth="1"/>
    <col min="1543" max="1543" width="11.7109375" style="647" customWidth="1"/>
    <col min="1544" max="1544" width="9.140625" style="647"/>
    <col min="1545" max="1545" width="9" style="647" customWidth="1"/>
    <col min="1546" max="1546" width="13.42578125" style="647" customWidth="1"/>
    <col min="1547" max="1547" width="8.140625" style="647" customWidth="1"/>
    <col min="1548" max="1549" width="9.42578125" style="647" customWidth="1"/>
    <col min="1550" max="1792" width="9.140625" style="647"/>
    <col min="1793" max="1793" width="64.85546875" style="647" customWidth="1"/>
    <col min="1794" max="1796" width="11.28515625" style="647" customWidth="1"/>
    <col min="1797" max="1797" width="10.28515625" style="647" customWidth="1"/>
    <col min="1798" max="1798" width="11.140625" style="647" customWidth="1"/>
    <col min="1799" max="1799" width="11.7109375" style="647" customWidth="1"/>
    <col min="1800" max="1800" width="9.140625" style="647"/>
    <col min="1801" max="1801" width="9" style="647" customWidth="1"/>
    <col min="1802" max="1802" width="13.42578125" style="647" customWidth="1"/>
    <col min="1803" max="1803" width="8.140625" style="647" customWidth="1"/>
    <col min="1804" max="1805" width="9.42578125" style="647" customWidth="1"/>
    <col min="1806" max="2048" width="9.140625" style="647"/>
    <col min="2049" max="2049" width="64.85546875" style="647" customWidth="1"/>
    <col min="2050" max="2052" width="11.28515625" style="647" customWidth="1"/>
    <col min="2053" max="2053" width="10.28515625" style="647" customWidth="1"/>
    <col min="2054" max="2054" width="11.140625" style="647" customWidth="1"/>
    <col min="2055" max="2055" width="11.7109375" style="647" customWidth="1"/>
    <col min="2056" max="2056" width="9.140625" style="647"/>
    <col min="2057" max="2057" width="9" style="647" customWidth="1"/>
    <col min="2058" max="2058" width="13.42578125" style="647" customWidth="1"/>
    <col min="2059" max="2059" width="8.140625" style="647" customWidth="1"/>
    <col min="2060" max="2061" width="9.42578125" style="647" customWidth="1"/>
    <col min="2062" max="2304" width="9.140625" style="647"/>
    <col min="2305" max="2305" width="64.85546875" style="647" customWidth="1"/>
    <col min="2306" max="2308" width="11.28515625" style="647" customWidth="1"/>
    <col min="2309" max="2309" width="10.28515625" style="647" customWidth="1"/>
    <col min="2310" max="2310" width="11.140625" style="647" customWidth="1"/>
    <col min="2311" max="2311" width="11.7109375" style="647" customWidth="1"/>
    <col min="2312" max="2312" width="9.140625" style="647"/>
    <col min="2313" max="2313" width="9" style="647" customWidth="1"/>
    <col min="2314" max="2314" width="13.42578125" style="647" customWidth="1"/>
    <col min="2315" max="2315" width="8.140625" style="647" customWidth="1"/>
    <col min="2316" max="2317" width="9.42578125" style="647" customWidth="1"/>
    <col min="2318" max="2560" width="9.140625" style="647"/>
    <col min="2561" max="2561" width="64.85546875" style="647" customWidth="1"/>
    <col min="2562" max="2564" width="11.28515625" style="647" customWidth="1"/>
    <col min="2565" max="2565" width="10.28515625" style="647" customWidth="1"/>
    <col min="2566" max="2566" width="11.140625" style="647" customWidth="1"/>
    <col min="2567" max="2567" width="11.7109375" style="647" customWidth="1"/>
    <col min="2568" max="2568" width="9.140625" style="647"/>
    <col min="2569" max="2569" width="9" style="647" customWidth="1"/>
    <col min="2570" max="2570" width="13.42578125" style="647" customWidth="1"/>
    <col min="2571" max="2571" width="8.140625" style="647" customWidth="1"/>
    <col min="2572" max="2573" width="9.42578125" style="647" customWidth="1"/>
    <col min="2574" max="2816" width="9.140625" style="647"/>
    <col min="2817" max="2817" width="64.85546875" style="647" customWidth="1"/>
    <col min="2818" max="2820" width="11.28515625" style="647" customWidth="1"/>
    <col min="2821" max="2821" width="10.28515625" style="647" customWidth="1"/>
    <col min="2822" max="2822" width="11.140625" style="647" customWidth="1"/>
    <col min="2823" max="2823" width="11.7109375" style="647" customWidth="1"/>
    <col min="2824" max="2824" width="9.140625" style="647"/>
    <col min="2825" max="2825" width="9" style="647" customWidth="1"/>
    <col min="2826" max="2826" width="13.42578125" style="647" customWidth="1"/>
    <col min="2827" max="2827" width="8.140625" style="647" customWidth="1"/>
    <col min="2828" max="2829" width="9.42578125" style="647" customWidth="1"/>
    <col min="2830" max="3072" width="9.140625" style="647"/>
    <col min="3073" max="3073" width="64.85546875" style="647" customWidth="1"/>
    <col min="3074" max="3076" width="11.28515625" style="647" customWidth="1"/>
    <col min="3077" max="3077" width="10.28515625" style="647" customWidth="1"/>
    <col min="3078" max="3078" width="11.140625" style="647" customWidth="1"/>
    <col min="3079" max="3079" width="11.7109375" style="647" customWidth="1"/>
    <col min="3080" max="3080" width="9.140625" style="647"/>
    <col min="3081" max="3081" width="9" style="647" customWidth="1"/>
    <col min="3082" max="3082" width="13.42578125" style="647" customWidth="1"/>
    <col min="3083" max="3083" width="8.140625" style="647" customWidth="1"/>
    <col min="3084" max="3085" width="9.42578125" style="647" customWidth="1"/>
    <col min="3086" max="3328" width="9.140625" style="647"/>
    <col min="3329" max="3329" width="64.85546875" style="647" customWidth="1"/>
    <col min="3330" max="3332" width="11.28515625" style="647" customWidth="1"/>
    <col min="3333" max="3333" width="10.28515625" style="647" customWidth="1"/>
    <col min="3334" max="3334" width="11.140625" style="647" customWidth="1"/>
    <col min="3335" max="3335" width="11.7109375" style="647" customWidth="1"/>
    <col min="3336" max="3336" width="9.140625" style="647"/>
    <col min="3337" max="3337" width="9" style="647" customWidth="1"/>
    <col min="3338" max="3338" width="13.42578125" style="647" customWidth="1"/>
    <col min="3339" max="3339" width="8.140625" style="647" customWidth="1"/>
    <col min="3340" max="3341" width="9.42578125" style="647" customWidth="1"/>
    <col min="3342" max="3584" width="9.140625" style="647"/>
    <col min="3585" max="3585" width="64.85546875" style="647" customWidth="1"/>
    <col min="3586" max="3588" width="11.28515625" style="647" customWidth="1"/>
    <col min="3589" max="3589" width="10.28515625" style="647" customWidth="1"/>
    <col min="3590" max="3590" width="11.140625" style="647" customWidth="1"/>
    <col min="3591" max="3591" width="11.7109375" style="647" customWidth="1"/>
    <col min="3592" max="3592" width="9.140625" style="647"/>
    <col min="3593" max="3593" width="9" style="647" customWidth="1"/>
    <col min="3594" max="3594" width="13.42578125" style="647" customWidth="1"/>
    <col min="3595" max="3595" width="8.140625" style="647" customWidth="1"/>
    <col min="3596" max="3597" width="9.42578125" style="647" customWidth="1"/>
    <col min="3598" max="3840" width="9.140625" style="647"/>
    <col min="3841" max="3841" width="64.85546875" style="647" customWidth="1"/>
    <col min="3842" max="3844" width="11.28515625" style="647" customWidth="1"/>
    <col min="3845" max="3845" width="10.28515625" style="647" customWidth="1"/>
    <col min="3846" max="3846" width="11.140625" style="647" customWidth="1"/>
    <col min="3847" max="3847" width="11.7109375" style="647" customWidth="1"/>
    <col min="3848" max="3848" width="9.140625" style="647"/>
    <col min="3849" max="3849" width="9" style="647" customWidth="1"/>
    <col min="3850" max="3850" width="13.42578125" style="647" customWidth="1"/>
    <col min="3851" max="3851" width="8.140625" style="647" customWidth="1"/>
    <col min="3852" max="3853" width="9.42578125" style="647" customWidth="1"/>
    <col min="3854" max="4096" width="9.140625" style="647"/>
    <col min="4097" max="4097" width="64.85546875" style="647" customWidth="1"/>
    <col min="4098" max="4100" width="11.28515625" style="647" customWidth="1"/>
    <col min="4101" max="4101" width="10.28515625" style="647" customWidth="1"/>
    <col min="4102" max="4102" width="11.140625" style="647" customWidth="1"/>
    <col min="4103" max="4103" width="11.7109375" style="647" customWidth="1"/>
    <col min="4104" max="4104" width="9.140625" style="647"/>
    <col min="4105" max="4105" width="9" style="647" customWidth="1"/>
    <col min="4106" max="4106" width="13.42578125" style="647" customWidth="1"/>
    <col min="4107" max="4107" width="8.140625" style="647" customWidth="1"/>
    <col min="4108" max="4109" width="9.42578125" style="647" customWidth="1"/>
    <col min="4110" max="4352" width="9.140625" style="647"/>
    <col min="4353" max="4353" width="64.85546875" style="647" customWidth="1"/>
    <col min="4354" max="4356" width="11.28515625" style="647" customWidth="1"/>
    <col min="4357" max="4357" width="10.28515625" style="647" customWidth="1"/>
    <col min="4358" max="4358" width="11.140625" style="647" customWidth="1"/>
    <col min="4359" max="4359" width="11.7109375" style="647" customWidth="1"/>
    <col min="4360" max="4360" width="9.140625" style="647"/>
    <col min="4361" max="4361" width="9" style="647" customWidth="1"/>
    <col min="4362" max="4362" width="13.42578125" style="647" customWidth="1"/>
    <col min="4363" max="4363" width="8.140625" style="647" customWidth="1"/>
    <col min="4364" max="4365" width="9.42578125" style="647" customWidth="1"/>
    <col min="4366" max="4608" width="9.140625" style="647"/>
    <col min="4609" max="4609" width="64.85546875" style="647" customWidth="1"/>
    <col min="4610" max="4612" width="11.28515625" style="647" customWidth="1"/>
    <col min="4613" max="4613" width="10.28515625" style="647" customWidth="1"/>
    <col min="4614" max="4614" width="11.140625" style="647" customWidth="1"/>
    <col min="4615" max="4615" width="11.7109375" style="647" customWidth="1"/>
    <col min="4616" max="4616" width="9.140625" style="647"/>
    <col min="4617" max="4617" width="9" style="647" customWidth="1"/>
    <col min="4618" max="4618" width="13.42578125" style="647" customWidth="1"/>
    <col min="4619" max="4619" width="8.140625" style="647" customWidth="1"/>
    <col min="4620" max="4621" width="9.42578125" style="647" customWidth="1"/>
    <col min="4622" max="4864" width="9.140625" style="647"/>
    <col min="4865" max="4865" width="64.85546875" style="647" customWidth="1"/>
    <col min="4866" max="4868" width="11.28515625" style="647" customWidth="1"/>
    <col min="4869" max="4869" width="10.28515625" style="647" customWidth="1"/>
    <col min="4870" max="4870" width="11.140625" style="647" customWidth="1"/>
    <col min="4871" max="4871" width="11.7109375" style="647" customWidth="1"/>
    <col min="4872" max="4872" width="9.140625" style="647"/>
    <col min="4873" max="4873" width="9" style="647" customWidth="1"/>
    <col min="4874" max="4874" width="13.42578125" style="647" customWidth="1"/>
    <col min="4875" max="4875" width="8.140625" style="647" customWidth="1"/>
    <col min="4876" max="4877" width="9.42578125" style="647" customWidth="1"/>
    <col min="4878" max="5120" width="9.140625" style="647"/>
    <col min="5121" max="5121" width="64.85546875" style="647" customWidth="1"/>
    <col min="5122" max="5124" width="11.28515625" style="647" customWidth="1"/>
    <col min="5125" max="5125" width="10.28515625" style="647" customWidth="1"/>
    <col min="5126" max="5126" width="11.140625" style="647" customWidth="1"/>
    <col min="5127" max="5127" width="11.7109375" style="647" customWidth="1"/>
    <col min="5128" max="5128" width="9.140625" style="647"/>
    <col min="5129" max="5129" width="9" style="647" customWidth="1"/>
    <col min="5130" max="5130" width="13.42578125" style="647" customWidth="1"/>
    <col min="5131" max="5131" width="8.140625" style="647" customWidth="1"/>
    <col min="5132" max="5133" width="9.42578125" style="647" customWidth="1"/>
    <col min="5134" max="5376" width="9.140625" style="647"/>
    <col min="5377" max="5377" width="64.85546875" style="647" customWidth="1"/>
    <col min="5378" max="5380" width="11.28515625" style="647" customWidth="1"/>
    <col min="5381" max="5381" width="10.28515625" style="647" customWidth="1"/>
    <col min="5382" max="5382" width="11.140625" style="647" customWidth="1"/>
    <col min="5383" max="5383" width="11.7109375" style="647" customWidth="1"/>
    <col min="5384" max="5384" width="9.140625" style="647"/>
    <col min="5385" max="5385" width="9" style="647" customWidth="1"/>
    <col min="5386" max="5386" width="13.42578125" style="647" customWidth="1"/>
    <col min="5387" max="5387" width="8.140625" style="647" customWidth="1"/>
    <col min="5388" max="5389" width="9.42578125" style="647" customWidth="1"/>
    <col min="5390" max="5632" width="9.140625" style="647"/>
    <col min="5633" max="5633" width="64.85546875" style="647" customWidth="1"/>
    <col min="5634" max="5636" width="11.28515625" style="647" customWidth="1"/>
    <col min="5637" max="5637" width="10.28515625" style="647" customWidth="1"/>
    <col min="5638" max="5638" width="11.140625" style="647" customWidth="1"/>
    <col min="5639" max="5639" width="11.7109375" style="647" customWidth="1"/>
    <col min="5640" max="5640" width="9.140625" style="647"/>
    <col min="5641" max="5641" width="9" style="647" customWidth="1"/>
    <col min="5642" max="5642" width="13.42578125" style="647" customWidth="1"/>
    <col min="5643" max="5643" width="8.140625" style="647" customWidth="1"/>
    <col min="5644" max="5645" width="9.42578125" style="647" customWidth="1"/>
    <col min="5646" max="5888" width="9.140625" style="647"/>
    <col min="5889" max="5889" width="64.85546875" style="647" customWidth="1"/>
    <col min="5890" max="5892" width="11.28515625" style="647" customWidth="1"/>
    <col min="5893" max="5893" width="10.28515625" style="647" customWidth="1"/>
    <col min="5894" max="5894" width="11.140625" style="647" customWidth="1"/>
    <col min="5895" max="5895" width="11.7109375" style="647" customWidth="1"/>
    <col min="5896" max="5896" width="9.140625" style="647"/>
    <col min="5897" max="5897" width="9" style="647" customWidth="1"/>
    <col min="5898" max="5898" width="13.42578125" style="647" customWidth="1"/>
    <col min="5899" max="5899" width="8.140625" style="647" customWidth="1"/>
    <col min="5900" max="5901" width="9.42578125" style="647" customWidth="1"/>
    <col min="5902" max="6144" width="9.140625" style="647"/>
    <col min="6145" max="6145" width="64.85546875" style="647" customWidth="1"/>
    <col min="6146" max="6148" width="11.28515625" style="647" customWidth="1"/>
    <col min="6149" max="6149" width="10.28515625" style="647" customWidth="1"/>
    <col min="6150" max="6150" width="11.140625" style="647" customWidth="1"/>
    <col min="6151" max="6151" width="11.7109375" style="647" customWidth="1"/>
    <col min="6152" max="6152" width="9.140625" style="647"/>
    <col min="6153" max="6153" width="9" style="647" customWidth="1"/>
    <col min="6154" max="6154" width="13.42578125" style="647" customWidth="1"/>
    <col min="6155" max="6155" width="8.140625" style="647" customWidth="1"/>
    <col min="6156" max="6157" width="9.42578125" style="647" customWidth="1"/>
    <col min="6158" max="6400" width="9.140625" style="647"/>
    <col min="6401" max="6401" width="64.85546875" style="647" customWidth="1"/>
    <col min="6402" max="6404" width="11.28515625" style="647" customWidth="1"/>
    <col min="6405" max="6405" width="10.28515625" style="647" customWidth="1"/>
    <col min="6406" max="6406" width="11.140625" style="647" customWidth="1"/>
    <col min="6407" max="6407" width="11.7109375" style="647" customWidth="1"/>
    <col min="6408" max="6408" width="9.140625" style="647"/>
    <col min="6409" max="6409" width="9" style="647" customWidth="1"/>
    <col min="6410" max="6410" width="13.42578125" style="647" customWidth="1"/>
    <col min="6411" max="6411" width="8.140625" style="647" customWidth="1"/>
    <col min="6412" max="6413" width="9.42578125" style="647" customWidth="1"/>
    <col min="6414" max="6656" width="9.140625" style="647"/>
    <col min="6657" max="6657" width="64.85546875" style="647" customWidth="1"/>
    <col min="6658" max="6660" width="11.28515625" style="647" customWidth="1"/>
    <col min="6661" max="6661" width="10.28515625" style="647" customWidth="1"/>
    <col min="6662" max="6662" width="11.140625" style="647" customWidth="1"/>
    <col min="6663" max="6663" width="11.7109375" style="647" customWidth="1"/>
    <col min="6664" max="6664" width="9.140625" style="647"/>
    <col min="6665" max="6665" width="9" style="647" customWidth="1"/>
    <col min="6666" max="6666" width="13.42578125" style="647" customWidth="1"/>
    <col min="6667" max="6667" width="8.140625" style="647" customWidth="1"/>
    <col min="6668" max="6669" width="9.42578125" style="647" customWidth="1"/>
    <col min="6670" max="6912" width="9.140625" style="647"/>
    <col min="6913" max="6913" width="64.85546875" style="647" customWidth="1"/>
    <col min="6914" max="6916" width="11.28515625" style="647" customWidth="1"/>
    <col min="6917" max="6917" width="10.28515625" style="647" customWidth="1"/>
    <col min="6918" max="6918" width="11.140625" style="647" customWidth="1"/>
    <col min="6919" max="6919" width="11.7109375" style="647" customWidth="1"/>
    <col min="6920" max="6920" width="9.140625" style="647"/>
    <col min="6921" max="6921" width="9" style="647" customWidth="1"/>
    <col min="6922" max="6922" width="13.42578125" style="647" customWidth="1"/>
    <col min="6923" max="6923" width="8.140625" style="647" customWidth="1"/>
    <col min="6924" max="6925" width="9.42578125" style="647" customWidth="1"/>
    <col min="6926" max="7168" width="9.140625" style="647"/>
    <col min="7169" max="7169" width="64.85546875" style="647" customWidth="1"/>
    <col min="7170" max="7172" width="11.28515625" style="647" customWidth="1"/>
    <col min="7173" max="7173" width="10.28515625" style="647" customWidth="1"/>
    <col min="7174" max="7174" width="11.140625" style="647" customWidth="1"/>
    <col min="7175" max="7175" width="11.7109375" style="647" customWidth="1"/>
    <col min="7176" max="7176" width="9.140625" style="647"/>
    <col min="7177" max="7177" width="9" style="647" customWidth="1"/>
    <col min="7178" max="7178" width="13.42578125" style="647" customWidth="1"/>
    <col min="7179" max="7179" width="8.140625" style="647" customWidth="1"/>
    <col min="7180" max="7181" width="9.42578125" style="647" customWidth="1"/>
    <col min="7182" max="7424" width="9.140625" style="647"/>
    <col min="7425" max="7425" width="64.85546875" style="647" customWidth="1"/>
    <col min="7426" max="7428" width="11.28515625" style="647" customWidth="1"/>
    <col min="7429" max="7429" width="10.28515625" style="647" customWidth="1"/>
    <col min="7430" max="7430" width="11.140625" style="647" customWidth="1"/>
    <col min="7431" max="7431" width="11.7109375" style="647" customWidth="1"/>
    <col min="7432" max="7432" width="9.140625" style="647"/>
    <col min="7433" max="7433" width="9" style="647" customWidth="1"/>
    <col min="7434" max="7434" width="13.42578125" style="647" customWidth="1"/>
    <col min="7435" max="7435" width="8.140625" style="647" customWidth="1"/>
    <col min="7436" max="7437" width="9.42578125" style="647" customWidth="1"/>
    <col min="7438" max="7680" width="9.140625" style="647"/>
    <col min="7681" max="7681" width="64.85546875" style="647" customWidth="1"/>
    <col min="7682" max="7684" width="11.28515625" style="647" customWidth="1"/>
    <col min="7685" max="7685" width="10.28515625" style="647" customWidth="1"/>
    <col min="7686" max="7686" width="11.140625" style="647" customWidth="1"/>
    <col min="7687" max="7687" width="11.7109375" style="647" customWidth="1"/>
    <col min="7688" max="7688" width="9.140625" style="647"/>
    <col min="7689" max="7689" width="9" style="647" customWidth="1"/>
    <col min="7690" max="7690" width="13.42578125" style="647" customWidth="1"/>
    <col min="7691" max="7691" width="8.140625" style="647" customWidth="1"/>
    <col min="7692" max="7693" width="9.42578125" style="647" customWidth="1"/>
    <col min="7694" max="7936" width="9.140625" style="647"/>
    <col min="7937" max="7937" width="64.85546875" style="647" customWidth="1"/>
    <col min="7938" max="7940" width="11.28515625" style="647" customWidth="1"/>
    <col min="7941" max="7941" width="10.28515625" style="647" customWidth="1"/>
    <col min="7942" max="7942" width="11.140625" style="647" customWidth="1"/>
    <col min="7943" max="7943" width="11.7109375" style="647" customWidth="1"/>
    <col min="7944" max="7944" width="9.140625" style="647"/>
    <col min="7945" max="7945" width="9" style="647" customWidth="1"/>
    <col min="7946" max="7946" width="13.42578125" style="647" customWidth="1"/>
    <col min="7947" max="7947" width="8.140625" style="647" customWidth="1"/>
    <col min="7948" max="7949" width="9.42578125" style="647" customWidth="1"/>
    <col min="7950" max="8192" width="9.140625" style="647"/>
    <col min="8193" max="8193" width="64.85546875" style="647" customWidth="1"/>
    <col min="8194" max="8196" width="11.28515625" style="647" customWidth="1"/>
    <col min="8197" max="8197" width="10.28515625" style="647" customWidth="1"/>
    <col min="8198" max="8198" width="11.140625" style="647" customWidth="1"/>
    <col min="8199" max="8199" width="11.7109375" style="647" customWidth="1"/>
    <col min="8200" max="8200" width="9.140625" style="647"/>
    <col min="8201" max="8201" width="9" style="647" customWidth="1"/>
    <col min="8202" max="8202" width="13.42578125" style="647" customWidth="1"/>
    <col min="8203" max="8203" width="8.140625" style="647" customWidth="1"/>
    <col min="8204" max="8205" width="9.42578125" style="647" customWidth="1"/>
    <col min="8206" max="8448" width="9.140625" style="647"/>
    <col min="8449" max="8449" width="64.85546875" style="647" customWidth="1"/>
    <col min="8450" max="8452" width="11.28515625" style="647" customWidth="1"/>
    <col min="8453" max="8453" width="10.28515625" style="647" customWidth="1"/>
    <col min="8454" max="8454" width="11.140625" style="647" customWidth="1"/>
    <col min="8455" max="8455" width="11.7109375" style="647" customWidth="1"/>
    <col min="8456" max="8456" width="9.140625" style="647"/>
    <col min="8457" max="8457" width="9" style="647" customWidth="1"/>
    <col min="8458" max="8458" width="13.42578125" style="647" customWidth="1"/>
    <col min="8459" max="8459" width="8.140625" style="647" customWidth="1"/>
    <col min="8460" max="8461" width="9.42578125" style="647" customWidth="1"/>
    <col min="8462" max="8704" width="9.140625" style="647"/>
    <col min="8705" max="8705" width="64.85546875" style="647" customWidth="1"/>
    <col min="8706" max="8708" width="11.28515625" style="647" customWidth="1"/>
    <col min="8709" max="8709" width="10.28515625" style="647" customWidth="1"/>
    <col min="8710" max="8710" width="11.140625" style="647" customWidth="1"/>
    <col min="8711" max="8711" width="11.7109375" style="647" customWidth="1"/>
    <col min="8712" max="8712" width="9.140625" style="647"/>
    <col min="8713" max="8713" width="9" style="647" customWidth="1"/>
    <col min="8714" max="8714" width="13.42578125" style="647" customWidth="1"/>
    <col min="8715" max="8715" width="8.140625" style="647" customWidth="1"/>
    <col min="8716" max="8717" width="9.42578125" style="647" customWidth="1"/>
    <col min="8718" max="8960" width="9.140625" style="647"/>
    <col min="8961" max="8961" width="64.85546875" style="647" customWidth="1"/>
    <col min="8962" max="8964" width="11.28515625" style="647" customWidth="1"/>
    <col min="8965" max="8965" width="10.28515625" style="647" customWidth="1"/>
    <col min="8966" max="8966" width="11.140625" style="647" customWidth="1"/>
    <col min="8967" max="8967" width="11.7109375" style="647" customWidth="1"/>
    <col min="8968" max="8968" width="9.140625" style="647"/>
    <col min="8969" max="8969" width="9" style="647" customWidth="1"/>
    <col min="8970" max="8970" width="13.42578125" style="647" customWidth="1"/>
    <col min="8971" max="8971" width="8.140625" style="647" customWidth="1"/>
    <col min="8972" max="8973" width="9.42578125" style="647" customWidth="1"/>
    <col min="8974" max="9216" width="9.140625" style="647"/>
    <col min="9217" max="9217" width="64.85546875" style="647" customWidth="1"/>
    <col min="9218" max="9220" width="11.28515625" style="647" customWidth="1"/>
    <col min="9221" max="9221" width="10.28515625" style="647" customWidth="1"/>
    <col min="9222" max="9222" width="11.140625" style="647" customWidth="1"/>
    <col min="9223" max="9223" width="11.7109375" style="647" customWidth="1"/>
    <col min="9224" max="9224" width="9.140625" style="647"/>
    <col min="9225" max="9225" width="9" style="647" customWidth="1"/>
    <col min="9226" max="9226" width="13.42578125" style="647" customWidth="1"/>
    <col min="9227" max="9227" width="8.140625" style="647" customWidth="1"/>
    <col min="9228" max="9229" width="9.42578125" style="647" customWidth="1"/>
    <col min="9230" max="9472" width="9.140625" style="647"/>
    <col min="9473" max="9473" width="64.85546875" style="647" customWidth="1"/>
    <col min="9474" max="9476" width="11.28515625" style="647" customWidth="1"/>
    <col min="9477" max="9477" width="10.28515625" style="647" customWidth="1"/>
    <col min="9478" max="9478" width="11.140625" style="647" customWidth="1"/>
    <col min="9479" max="9479" width="11.7109375" style="647" customWidth="1"/>
    <col min="9480" max="9480" width="9.140625" style="647"/>
    <col min="9481" max="9481" width="9" style="647" customWidth="1"/>
    <col min="9482" max="9482" width="13.42578125" style="647" customWidth="1"/>
    <col min="9483" max="9483" width="8.140625" style="647" customWidth="1"/>
    <col min="9484" max="9485" width="9.42578125" style="647" customWidth="1"/>
    <col min="9486" max="9728" width="9.140625" style="647"/>
    <col min="9729" max="9729" width="64.85546875" style="647" customWidth="1"/>
    <col min="9730" max="9732" width="11.28515625" style="647" customWidth="1"/>
    <col min="9733" max="9733" width="10.28515625" style="647" customWidth="1"/>
    <col min="9734" max="9734" width="11.140625" style="647" customWidth="1"/>
    <col min="9735" max="9735" width="11.7109375" style="647" customWidth="1"/>
    <col min="9736" max="9736" width="9.140625" style="647"/>
    <col min="9737" max="9737" width="9" style="647" customWidth="1"/>
    <col min="9738" max="9738" width="13.42578125" style="647" customWidth="1"/>
    <col min="9739" max="9739" width="8.140625" style="647" customWidth="1"/>
    <col min="9740" max="9741" width="9.42578125" style="647" customWidth="1"/>
    <col min="9742" max="9984" width="9.140625" style="647"/>
    <col min="9985" max="9985" width="64.85546875" style="647" customWidth="1"/>
    <col min="9986" max="9988" width="11.28515625" style="647" customWidth="1"/>
    <col min="9989" max="9989" width="10.28515625" style="647" customWidth="1"/>
    <col min="9990" max="9990" width="11.140625" style="647" customWidth="1"/>
    <col min="9991" max="9991" width="11.7109375" style="647" customWidth="1"/>
    <col min="9992" max="9992" width="9.140625" style="647"/>
    <col min="9993" max="9993" width="9" style="647" customWidth="1"/>
    <col min="9994" max="9994" width="13.42578125" style="647" customWidth="1"/>
    <col min="9995" max="9995" width="8.140625" style="647" customWidth="1"/>
    <col min="9996" max="9997" width="9.42578125" style="647" customWidth="1"/>
    <col min="9998" max="10240" width="9.140625" style="647"/>
    <col min="10241" max="10241" width="64.85546875" style="647" customWidth="1"/>
    <col min="10242" max="10244" width="11.28515625" style="647" customWidth="1"/>
    <col min="10245" max="10245" width="10.28515625" style="647" customWidth="1"/>
    <col min="10246" max="10246" width="11.140625" style="647" customWidth="1"/>
    <col min="10247" max="10247" width="11.7109375" style="647" customWidth="1"/>
    <col min="10248" max="10248" width="9.140625" style="647"/>
    <col min="10249" max="10249" width="9" style="647" customWidth="1"/>
    <col min="10250" max="10250" width="13.42578125" style="647" customWidth="1"/>
    <col min="10251" max="10251" width="8.140625" style="647" customWidth="1"/>
    <col min="10252" max="10253" width="9.42578125" style="647" customWidth="1"/>
    <col min="10254" max="10496" width="9.140625" style="647"/>
    <col min="10497" max="10497" width="64.85546875" style="647" customWidth="1"/>
    <col min="10498" max="10500" width="11.28515625" style="647" customWidth="1"/>
    <col min="10501" max="10501" width="10.28515625" style="647" customWidth="1"/>
    <col min="10502" max="10502" width="11.140625" style="647" customWidth="1"/>
    <col min="10503" max="10503" width="11.7109375" style="647" customWidth="1"/>
    <col min="10504" max="10504" width="9.140625" style="647"/>
    <col min="10505" max="10505" width="9" style="647" customWidth="1"/>
    <col min="10506" max="10506" width="13.42578125" style="647" customWidth="1"/>
    <col min="10507" max="10507" width="8.140625" style="647" customWidth="1"/>
    <col min="10508" max="10509" width="9.42578125" style="647" customWidth="1"/>
    <col min="10510" max="10752" width="9.140625" style="647"/>
    <col min="10753" max="10753" width="64.85546875" style="647" customWidth="1"/>
    <col min="10754" max="10756" width="11.28515625" style="647" customWidth="1"/>
    <col min="10757" max="10757" width="10.28515625" style="647" customWidth="1"/>
    <col min="10758" max="10758" width="11.140625" style="647" customWidth="1"/>
    <col min="10759" max="10759" width="11.7109375" style="647" customWidth="1"/>
    <col min="10760" max="10760" width="9.140625" style="647"/>
    <col min="10761" max="10761" width="9" style="647" customWidth="1"/>
    <col min="10762" max="10762" width="13.42578125" style="647" customWidth="1"/>
    <col min="10763" max="10763" width="8.140625" style="647" customWidth="1"/>
    <col min="10764" max="10765" width="9.42578125" style="647" customWidth="1"/>
    <col min="10766" max="11008" width="9.140625" style="647"/>
    <col min="11009" max="11009" width="64.85546875" style="647" customWidth="1"/>
    <col min="11010" max="11012" width="11.28515625" style="647" customWidth="1"/>
    <col min="11013" max="11013" width="10.28515625" style="647" customWidth="1"/>
    <col min="11014" max="11014" width="11.140625" style="647" customWidth="1"/>
    <col min="11015" max="11015" width="11.7109375" style="647" customWidth="1"/>
    <col min="11016" max="11016" width="9.140625" style="647"/>
    <col min="11017" max="11017" width="9" style="647" customWidth="1"/>
    <col min="11018" max="11018" width="13.42578125" style="647" customWidth="1"/>
    <col min="11019" max="11019" width="8.140625" style="647" customWidth="1"/>
    <col min="11020" max="11021" width="9.42578125" style="647" customWidth="1"/>
    <col min="11022" max="11264" width="9.140625" style="647"/>
    <col min="11265" max="11265" width="64.85546875" style="647" customWidth="1"/>
    <col min="11266" max="11268" width="11.28515625" style="647" customWidth="1"/>
    <col min="11269" max="11269" width="10.28515625" style="647" customWidth="1"/>
    <col min="11270" max="11270" width="11.140625" style="647" customWidth="1"/>
    <col min="11271" max="11271" width="11.7109375" style="647" customWidth="1"/>
    <col min="11272" max="11272" width="9.140625" style="647"/>
    <col min="11273" max="11273" width="9" style="647" customWidth="1"/>
    <col min="11274" max="11274" width="13.42578125" style="647" customWidth="1"/>
    <col min="11275" max="11275" width="8.140625" style="647" customWidth="1"/>
    <col min="11276" max="11277" width="9.42578125" style="647" customWidth="1"/>
    <col min="11278" max="11520" width="9.140625" style="647"/>
    <col min="11521" max="11521" width="64.85546875" style="647" customWidth="1"/>
    <col min="11522" max="11524" width="11.28515625" style="647" customWidth="1"/>
    <col min="11525" max="11525" width="10.28515625" style="647" customWidth="1"/>
    <col min="11526" max="11526" width="11.140625" style="647" customWidth="1"/>
    <col min="11527" max="11527" width="11.7109375" style="647" customWidth="1"/>
    <col min="11528" max="11528" width="9.140625" style="647"/>
    <col min="11529" max="11529" width="9" style="647" customWidth="1"/>
    <col min="11530" max="11530" width="13.42578125" style="647" customWidth="1"/>
    <col min="11531" max="11531" width="8.140625" style="647" customWidth="1"/>
    <col min="11532" max="11533" width="9.42578125" style="647" customWidth="1"/>
    <col min="11534" max="11776" width="9.140625" style="647"/>
    <col min="11777" max="11777" width="64.85546875" style="647" customWidth="1"/>
    <col min="11778" max="11780" width="11.28515625" style="647" customWidth="1"/>
    <col min="11781" max="11781" width="10.28515625" style="647" customWidth="1"/>
    <col min="11782" max="11782" width="11.140625" style="647" customWidth="1"/>
    <col min="11783" max="11783" width="11.7109375" style="647" customWidth="1"/>
    <col min="11784" max="11784" width="9.140625" style="647"/>
    <col min="11785" max="11785" width="9" style="647" customWidth="1"/>
    <col min="11786" max="11786" width="13.42578125" style="647" customWidth="1"/>
    <col min="11787" max="11787" width="8.140625" style="647" customWidth="1"/>
    <col min="11788" max="11789" width="9.42578125" style="647" customWidth="1"/>
    <col min="11790" max="12032" width="9.140625" style="647"/>
    <col min="12033" max="12033" width="64.85546875" style="647" customWidth="1"/>
    <col min="12034" max="12036" width="11.28515625" style="647" customWidth="1"/>
    <col min="12037" max="12037" width="10.28515625" style="647" customWidth="1"/>
    <col min="12038" max="12038" width="11.140625" style="647" customWidth="1"/>
    <col min="12039" max="12039" width="11.7109375" style="647" customWidth="1"/>
    <col min="12040" max="12040" width="9.140625" style="647"/>
    <col min="12041" max="12041" width="9" style="647" customWidth="1"/>
    <col min="12042" max="12042" width="13.42578125" style="647" customWidth="1"/>
    <col min="12043" max="12043" width="8.140625" style="647" customWidth="1"/>
    <col min="12044" max="12045" width="9.42578125" style="647" customWidth="1"/>
    <col min="12046" max="12288" width="9.140625" style="647"/>
    <col min="12289" max="12289" width="64.85546875" style="647" customWidth="1"/>
    <col min="12290" max="12292" width="11.28515625" style="647" customWidth="1"/>
    <col min="12293" max="12293" width="10.28515625" style="647" customWidth="1"/>
    <col min="12294" max="12294" width="11.140625" style="647" customWidth="1"/>
    <col min="12295" max="12295" width="11.7109375" style="647" customWidth="1"/>
    <col min="12296" max="12296" width="9.140625" style="647"/>
    <col min="12297" max="12297" width="9" style="647" customWidth="1"/>
    <col min="12298" max="12298" width="13.42578125" style="647" customWidth="1"/>
    <col min="12299" max="12299" width="8.140625" style="647" customWidth="1"/>
    <col min="12300" max="12301" width="9.42578125" style="647" customWidth="1"/>
    <col min="12302" max="12544" width="9.140625" style="647"/>
    <col min="12545" max="12545" width="64.85546875" style="647" customWidth="1"/>
    <col min="12546" max="12548" width="11.28515625" style="647" customWidth="1"/>
    <col min="12549" max="12549" width="10.28515625" style="647" customWidth="1"/>
    <col min="12550" max="12550" width="11.140625" style="647" customWidth="1"/>
    <col min="12551" max="12551" width="11.7109375" style="647" customWidth="1"/>
    <col min="12552" max="12552" width="9.140625" style="647"/>
    <col min="12553" max="12553" width="9" style="647" customWidth="1"/>
    <col min="12554" max="12554" width="13.42578125" style="647" customWidth="1"/>
    <col min="12555" max="12555" width="8.140625" style="647" customWidth="1"/>
    <col min="12556" max="12557" width="9.42578125" style="647" customWidth="1"/>
    <col min="12558" max="12800" width="9.140625" style="647"/>
    <col min="12801" max="12801" width="64.85546875" style="647" customWidth="1"/>
    <col min="12802" max="12804" width="11.28515625" style="647" customWidth="1"/>
    <col min="12805" max="12805" width="10.28515625" style="647" customWidth="1"/>
    <col min="12806" max="12806" width="11.140625" style="647" customWidth="1"/>
    <col min="12807" max="12807" width="11.7109375" style="647" customWidth="1"/>
    <col min="12808" max="12808" width="9.140625" style="647"/>
    <col min="12809" max="12809" width="9" style="647" customWidth="1"/>
    <col min="12810" max="12810" width="13.42578125" style="647" customWidth="1"/>
    <col min="12811" max="12811" width="8.140625" style="647" customWidth="1"/>
    <col min="12812" max="12813" width="9.42578125" style="647" customWidth="1"/>
    <col min="12814" max="13056" width="9.140625" style="647"/>
    <col min="13057" max="13057" width="64.85546875" style="647" customWidth="1"/>
    <col min="13058" max="13060" width="11.28515625" style="647" customWidth="1"/>
    <col min="13061" max="13061" width="10.28515625" style="647" customWidth="1"/>
    <col min="13062" max="13062" width="11.140625" style="647" customWidth="1"/>
    <col min="13063" max="13063" width="11.7109375" style="647" customWidth="1"/>
    <col min="13064" max="13064" width="9.140625" style="647"/>
    <col min="13065" max="13065" width="9" style="647" customWidth="1"/>
    <col min="13066" max="13066" width="13.42578125" style="647" customWidth="1"/>
    <col min="13067" max="13067" width="8.140625" style="647" customWidth="1"/>
    <col min="13068" max="13069" width="9.42578125" style="647" customWidth="1"/>
    <col min="13070" max="13312" width="9.140625" style="647"/>
    <col min="13313" max="13313" width="64.85546875" style="647" customWidth="1"/>
    <col min="13314" max="13316" width="11.28515625" style="647" customWidth="1"/>
    <col min="13317" max="13317" width="10.28515625" style="647" customWidth="1"/>
    <col min="13318" max="13318" width="11.140625" style="647" customWidth="1"/>
    <col min="13319" max="13319" width="11.7109375" style="647" customWidth="1"/>
    <col min="13320" max="13320" width="9.140625" style="647"/>
    <col min="13321" max="13321" width="9" style="647" customWidth="1"/>
    <col min="13322" max="13322" width="13.42578125" style="647" customWidth="1"/>
    <col min="13323" max="13323" width="8.140625" style="647" customWidth="1"/>
    <col min="13324" max="13325" width="9.42578125" style="647" customWidth="1"/>
    <col min="13326" max="13568" width="9.140625" style="647"/>
    <col min="13569" max="13569" width="64.85546875" style="647" customWidth="1"/>
    <col min="13570" max="13572" width="11.28515625" style="647" customWidth="1"/>
    <col min="13573" max="13573" width="10.28515625" style="647" customWidth="1"/>
    <col min="13574" max="13574" width="11.140625" style="647" customWidth="1"/>
    <col min="13575" max="13575" width="11.7109375" style="647" customWidth="1"/>
    <col min="13576" max="13576" width="9.140625" style="647"/>
    <col min="13577" max="13577" width="9" style="647" customWidth="1"/>
    <col min="13578" max="13578" width="13.42578125" style="647" customWidth="1"/>
    <col min="13579" max="13579" width="8.140625" style="647" customWidth="1"/>
    <col min="13580" max="13581" width="9.42578125" style="647" customWidth="1"/>
    <col min="13582" max="13824" width="9.140625" style="647"/>
    <col min="13825" max="13825" width="64.85546875" style="647" customWidth="1"/>
    <col min="13826" max="13828" width="11.28515625" style="647" customWidth="1"/>
    <col min="13829" max="13829" width="10.28515625" style="647" customWidth="1"/>
    <col min="13830" max="13830" width="11.140625" style="647" customWidth="1"/>
    <col min="13831" max="13831" width="11.7109375" style="647" customWidth="1"/>
    <col min="13832" max="13832" width="9.140625" style="647"/>
    <col min="13833" max="13833" width="9" style="647" customWidth="1"/>
    <col min="13834" max="13834" width="13.42578125" style="647" customWidth="1"/>
    <col min="13835" max="13835" width="8.140625" style="647" customWidth="1"/>
    <col min="13836" max="13837" width="9.42578125" style="647" customWidth="1"/>
    <col min="13838" max="14080" width="9.140625" style="647"/>
    <col min="14081" max="14081" width="64.85546875" style="647" customWidth="1"/>
    <col min="14082" max="14084" width="11.28515625" style="647" customWidth="1"/>
    <col min="14085" max="14085" width="10.28515625" style="647" customWidth="1"/>
    <col min="14086" max="14086" width="11.140625" style="647" customWidth="1"/>
    <col min="14087" max="14087" width="11.7109375" style="647" customWidth="1"/>
    <col min="14088" max="14088" width="9.140625" style="647"/>
    <col min="14089" max="14089" width="9" style="647" customWidth="1"/>
    <col min="14090" max="14090" width="13.42578125" style="647" customWidth="1"/>
    <col min="14091" max="14091" width="8.140625" style="647" customWidth="1"/>
    <col min="14092" max="14093" width="9.42578125" style="647" customWidth="1"/>
    <col min="14094" max="14336" width="9.140625" style="647"/>
    <col min="14337" max="14337" width="64.85546875" style="647" customWidth="1"/>
    <col min="14338" max="14340" width="11.28515625" style="647" customWidth="1"/>
    <col min="14341" max="14341" width="10.28515625" style="647" customWidth="1"/>
    <col min="14342" max="14342" width="11.140625" style="647" customWidth="1"/>
    <col min="14343" max="14343" width="11.7109375" style="647" customWidth="1"/>
    <col min="14344" max="14344" width="9.140625" style="647"/>
    <col min="14345" max="14345" width="9" style="647" customWidth="1"/>
    <col min="14346" max="14346" width="13.42578125" style="647" customWidth="1"/>
    <col min="14347" max="14347" width="8.140625" style="647" customWidth="1"/>
    <col min="14348" max="14349" width="9.42578125" style="647" customWidth="1"/>
    <col min="14350" max="14592" width="9.140625" style="647"/>
    <col min="14593" max="14593" width="64.85546875" style="647" customWidth="1"/>
    <col min="14594" max="14596" width="11.28515625" style="647" customWidth="1"/>
    <col min="14597" max="14597" width="10.28515625" style="647" customWidth="1"/>
    <col min="14598" max="14598" width="11.140625" style="647" customWidth="1"/>
    <col min="14599" max="14599" width="11.7109375" style="647" customWidth="1"/>
    <col min="14600" max="14600" width="9.140625" style="647"/>
    <col min="14601" max="14601" width="9" style="647" customWidth="1"/>
    <col min="14602" max="14602" width="13.42578125" style="647" customWidth="1"/>
    <col min="14603" max="14603" width="8.140625" style="647" customWidth="1"/>
    <col min="14604" max="14605" width="9.42578125" style="647" customWidth="1"/>
    <col min="14606" max="14848" width="9.140625" style="647"/>
    <col min="14849" max="14849" width="64.85546875" style="647" customWidth="1"/>
    <col min="14850" max="14852" width="11.28515625" style="647" customWidth="1"/>
    <col min="14853" max="14853" width="10.28515625" style="647" customWidth="1"/>
    <col min="14854" max="14854" width="11.140625" style="647" customWidth="1"/>
    <col min="14855" max="14855" width="11.7109375" style="647" customWidth="1"/>
    <col min="14856" max="14856" width="9.140625" style="647"/>
    <col min="14857" max="14857" width="9" style="647" customWidth="1"/>
    <col min="14858" max="14858" width="13.42578125" style="647" customWidth="1"/>
    <col min="14859" max="14859" width="8.140625" style="647" customWidth="1"/>
    <col min="14860" max="14861" width="9.42578125" style="647" customWidth="1"/>
    <col min="14862" max="15104" width="9.140625" style="647"/>
    <col min="15105" max="15105" width="64.85546875" style="647" customWidth="1"/>
    <col min="15106" max="15108" width="11.28515625" style="647" customWidth="1"/>
    <col min="15109" max="15109" width="10.28515625" style="647" customWidth="1"/>
    <col min="15110" max="15110" width="11.140625" style="647" customWidth="1"/>
    <col min="15111" max="15111" width="11.7109375" style="647" customWidth="1"/>
    <col min="15112" max="15112" width="9.140625" style="647"/>
    <col min="15113" max="15113" width="9" style="647" customWidth="1"/>
    <col min="15114" max="15114" width="13.42578125" style="647" customWidth="1"/>
    <col min="15115" max="15115" width="8.140625" style="647" customWidth="1"/>
    <col min="15116" max="15117" width="9.42578125" style="647" customWidth="1"/>
    <col min="15118" max="15360" width="9.140625" style="647"/>
    <col min="15361" max="15361" width="64.85546875" style="647" customWidth="1"/>
    <col min="15362" max="15364" width="11.28515625" style="647" customWidth="1"/>
    <col min="15365" max="15365" width="10.28515625" style="647" customWidth="1"/>
    <col min="15366" max="15366" width="11.140625" style="647" customWidth="1"/>
    <col min="15367" max="15367" width="11.7109375" style="647" customWidth="1"/>
    <col min="15368" max="15368" width="9.140625" style="647"/>
    <col min="15369" max="15369" width="9" style="647" customWidth="1"/>
    <col min="15370" max="15370" width="13.42578125" style="647" customWidth="1"/>
    <col min="15371" max="15371" width="8.140625" style="647" customWidth="1"/>
    <col min="15372" max="15373" width="9.42578125" style="647" customWidth="1"/>
    <col min="15374" max="15616" width="9.140625" style="647"/>
    <col min="15617" max="15617" width="64.85546875" style="647" customWidth="1"/>
    <col min="15618" max="15620" width="11.28515625" style="647" customWidth="1"/>
    <col min="15621" max="15621" width="10.28515625" style="647" customWidth="1"/>
    <col min="15622" max="15622" width="11.140625" style="647" customWidth="1"/>
    <col min="15623" max="15623" width="11.7109375" style="647" customWidth="1"/>
    <col min="15624" max="15624" width="9.140625" style="647"/>
    <col min="15625" max="15625" width="9" style="647" customWidth="1"/>
    <col min="15626" max="15626" width="13.42578125" style="647" customWidth="1"/>
    <col min="15627" max="15627" width="8.140625" style="647" customWidth="1"/>
    <col min="15628" max="15629" width="9.42578125" style="647" customWidth="1"/>
    <col min="15630" max="15872" width="9.140625" style="647"/>
    <col min="15873" max="15873" width="64.85546875" style="647" customWidth="1"/>
    <col min="15874" max="15876" width="11.28515625" style="647" customWidth="1"/>
    <col min="15877" max="15877" width="10.28515625" style="647" customWidth="1"/>
    <col min="15878" max="15878" width="11.140625" style="647" customWidth="1"/>
    <col min="15879" max="15879" width="11.7109375" style="647" customWidth="1"/>
    <col min="15880" max="15880" width="9.140625" style="647"/>
    <col min="15881" max="15881" width="9" style="647" customWidth="1"/>
    <col min="15882" max="15882" width="13.42578125" style="647" customWidth="1"/>
    <col min="15883" max="15883" width="8.140625" style="647" customWidth="1"/>
    <col min="15884" max="15885" width="9.42578125" style="647" customWidth="1"/>
    <col min="15886" max="16128" width="9.140625" style="647"/>
    <col min="16129" max="16129" width="64.85546875" style="647" customWidth="1"/>
    <col min="16130" max="16132" width="11.28515625" style="647" customWidth="1"/>
    <col min="16133" max="16133" width="10.28515625" style="647" customWidth="1"/>
    <col min="16134" max="16134" width="11.140625" style="647" customWidth="1"/>
    <col min="16135" max="16135" width="11.7109375" style="647" customWidth="1"/>
    <col min="16136" max="16136" width="9.140625" style="647"/>
    <col min="16137" max="16137" width="9" style="647" customWidth="1"/>
    <col min="16138" max="16138" width="13.42578125" style="647" customWidth="1"/>
    <col min="16139" max="16139" width="8.140625" style="647" customWidth="1"/>
    <col min="16140" max="16141" width="9.42578125" style="647" customWidth="1"/>
    <col min="16142" max="16384" width="9.140625" style="647"/>
  </cols>
  <sheetData>
    <row r="1" spans="1:20" ht="12.75">
      <c r="A1" s="187" t="s">
        <v>306</v>
      </c>
      <c r="R1" s="642"/>
      <c r="S1" s="711" t="s">
        <v>354</v>
      </c>
    </row>
    <row r="2" spans="1:20">
      <c r="A2" s="648" t="s">
        <v>352</v>
      </c>
      <c r="B2" s="648"/>
      <c r="C2" s="648"/>
      <c r="D2" s="649"/>
      <c r="E2" s="648"/>
      <c r="F2" s="648"/>
      <c r="G2" s="648"/>
      <c r="H2" s="648"/>
      <c r="I2" s="648"/>
      <c r="J2" s="648"/>
      <c r="K2" s="648"/>
      <c r="L2" s="648"/>
      <c r="M2" s="648"/>
    </row>
    <row r="3" spans="1:20">
      <c r="A3" s="650"/>
      <c r="B3" s="650"/>
      <c r="C3" s="650"/>
      <c r="D3" s="651"/>
      <c r="E3" s="650"/>
      <c r="F3" s="650"/>
      <c r="G3" s="650"/>
      <c r="H3" s="650"/>
      <c r="I3" s="650"/>
      <c r="J3" s="650"/>
      <c r="K3" s="650"/>
      <c r="L3" s="650"/>
      <c r="M3" s="650"/>
    </row>
    <row r="4" spans="1:20" s="652" customFormat="1" ht="33.75">
      <c r="A4" s="621" t="s">
        <v>255</v>
      </c>
      <c r="B4" s="622" t="s">
        <v>0</v>
      </c>
      <c r="C4" s="622" t="s">
        <v>1</v>
      </c>
      <c r="D4" s="622" t="s">
        <v>224</v>
      </c>
      <c r="E4" s="622" t="s">
        <v>2</v>
      </c>
      <c r="F4" s="622" t="s">
        <v>3</v>
      </c>
      <c r="G4" s="622" t="s">
        <v>4</v>
      </c>
      <c r="H4" s="622" t="s">
        <v>5</v>
      </c>
      <c r="I4" s="622" t="s">
        <v>6</v>
      </c>
      <c r="J4" s="622" t="s">
        <v>7</v>
      </c>
      <c r="K4" s="622" t="s">
        <v>8</v>
      </c>
      <c r="L4" s="622" t="s">
        <v>9</v>
      </c>
      <c r="M4" s="623" t="s">
        <v>10</v>
      </c>
      <c r="N4" s="625" t="s">
        <v>86</v>
      </c>
      <c r="O4" s="625" t="s">
        <v>359</v>
      </c>
      <c r="P4" s="625" t="s">
        <v>88</v>
      </c>
      <c r="Q4" s="626" t="s">
        <v>89</v>
      </c>
      <c r="R4" s="625" t="s">
        <v>90</v>
      </c>
      <c r="S4" s="627" t="s">
        <v>317</v>
      </c>
      <c r="T4" s="627" t="s">
        <v>318</v>
      </c>
    </row>
    <row r="5" spans="1:20">
      <c r="A5" s="653" t="s">
        <v>62</v>
      </c>
      <c r="B5" s="655">
        <v>129</v>
      </c>
      <c r="C5" s="655">
        <v>0</v>
      </c>
      <c r="D5" s="656">
        <v>0</v>
      </c>
      <c r="E5" s="655">
        <v>11</v>
      </c>
      <c r="F5" s="655">
        <v>2351</v>
      </c>
      <c r="G5" s="655">
        <v>561</v>
      </c>
      <c r="H5" s="655">
        <v>21293</v>
      </c>
      <c r="I5" s="655">
        <v>4</v>
      </c>
      <c r="J5" s="655">
        <v>178</v>
      </c>
      <c r="K5" s="655">
        <v>0</v>
      </c>
      <c r="L5" s="655">
        <v>381</v>
      </c>
      <c r="M5" s="657">
        <v>24908</v>
      </c>
      <c r="N5" s="654">
        <f>SUM(B5+E5)</f>
        <v>140</v>
      </c>
      <c r="O5" s="654">
        <f>SUM(C5+D5+F5+G5)</f>
        <v>2912</v>
      </c>
      <c r="P5" s="654">
        <f>SUM(H5:L5)</f>
        <v>21856</v>
      </c>
      <c r="Q5" s="594">
        <f>(10*N5)+(3*O5)+P5</f>
        <v>31992</v>
      </c>
      <c r="R5" s="560">
        <f>SUM(Q5/($Q$45+$Q$57))</f>
        <v>1.489176102801189E-2</v>
      </c>
      <c r="S5" s="654">
        <f>SUM(N5:P5)</f>
        <v>24908</v>
      </c>
      <c r="T5" s="654">
        <f>S5-M5</f>
        <v>0</v>
      </c>
    </row>
    <row r="6" spans="1:20">
      <c r="A6" s="653" t="s">
        <v>84</v>
      </c>
      <c r="B6" s="655">
        <v>1859</v>
      </c>
      <c r="C6" s="655">
        <v>0</v>
      </c>
      <c r="D6" s="656">
        <v>0</v>
      </c>
      <c r="E6" s="655">
        <v>88</v>
      </c>
      <c r="F6" s="655">
        <v>4791</v>
      </c>
      <c r="G6" s="655">
        <v>589</v>
      </c>
      <c r="H6" s="655">
        <v>9997</v>
      </c>
      <c r="I6" s="655">
        <v>1</v>
      </c>
      <c r="J6" s="655">
        <v>50</v>
      </c>
      <c r="K6" s="655">
        <v>2</v>
      </c>
      <c r="L6" s="655">
        <v>13</v>
      </c>
      <c r="M6" s="657">
        <v>17388</v>
      </c>
      <c r="N6" s="654">
        <f t="shared" ref="N6:N43" si="0">SUM(B6+E6)</f>
        <v>1947</v>
      </c>
      <c r="O6" s="654">
        <f t="shared" ref="O6:O43" si="1">SUM(C6+D6+F6+G6)</f>
        <v>5380</v>
      </c>
      <c r="P6" s="654">
        <f t="shared" ref="P6:P43" si="2">SUM(H6:L6)</f>
        <v>10063</v>
      </c>
      <c r="Q6" s="594">
        <f t="shared" ref="Q6:Q42" si="3">(10*N6)+(3*O6)+P6</f>
        <v>45673</v>
      </c>
      <c r="R6" s="560">
        <f t="shared" ref="R6:R42" si="4">SUM(Q6/($Q$45+$Q$57))</f>
        <v>2.1260046306338681E-2</v>
      </c>
      <c r="S6" s="654">
        <f t="shared" ref="S6:S43" si="5">SUM(N6:P6)</f>
        <v>17390</v>
      </c>
      <c r="T6" s="654">
        <f t="shared" ref="T6:T43" si="6">S6-M6</f>
        <v>2</v>
      </c>
    </row>
    <row r="7" spans="1:20">
      <c r="A7" s="653" t="s">
        <v>35</v>
      </c>
      <c r="B7" s="655">
        <v>115</v>
      </c>
      <c r="C7" s="655">
        <v>0</v>
      </c>
      <c r="D7" s="656">
        <v>822</v>
      </c>
      <c r="E7" s="655">
        <v>32</v>
      </c>
      <c r="F7" s="655">
        <v>1349</v>
      </c>
      <c r="G7" s="655">
        <v>268</v>
      </c>
      <c r="H7" s="655">
        <v>2448</v>
      </c>
      <c r="I7" s="655">
        <v>0</v>
      </c>
      <c r="J7" s="655">
        <v>123</v>
      </c>
      <c r="K7" s="655">
        <v>52</v>
      </c>
      <c r="L7" s="655">
        <v>247</v>
      </c>
      <c r="M7" s="657">
        <v>5455</v>
      </c>
      <c r="N7" s="654">
        <f t="shared" si="0"/>
        <v>147</v>
      </c>
      <c r="O7" s="654">
        <f t="shared" si="1"/>
        <v>2439</v>
      </c>
      <c r="P7" s="654">
        <f t="shared" si="2"/>
        <v>2870</v>
      </c>
      <c r="Q7" s="594">
        <f t="shared" si="3"/>
        <v>11657</v>
      </c>
      <c r="R7" s="560">
        <f t="shared" si="4"/>
        <v>5.4261458584500691E-3</v>
      </c>
      <c r="S7" s="654">
        <f t="shared" si="5"/>
        <v>5456</v>
      </c>
      <c r="T7" s="654">
        <f t="shared" si="6"/>
        <v>1</v>
      </c>
    </row>
    <row r="8" spans="1:20">
      <c r="A8" s="653" t="s">
        <v>358</v>
      </c>
      <c r="B8" s="655">
        <v>193</v>
      </c>
      <c r="C8" s="655">
        <v>0</v>
      </c>
      <c r="D8" s="656">
        <v>0</v>
      </c>
      <c r="E8" s="655">
        <v>30</v>
      </c>
      <c r="F8" s="655">
        <v>1258</v>
      </c>
      <c r="G8" s="655">
        <v>276</v>
      </c>
      <c r="H8" s="655">
        <v>5191</v>
      </c>
      <c r="I8" s="655">
        <v>41</v>
      </c>
      <c r="J8" s="655">
        <v>296</v>
      </c>
      <c r="K8" s="655">
        <v>660</v>
      </c>
      <c r="L8" s="655">
        <v>8</v>
      </c>
      <c r="M8" s="657">
        <v>7954</v>
      </c>
      <c r="N8" s="654">
        <f t="shared" si="0"/>
        <v>223</v>
      </c>
      <c r="O8" s="654">
        <f t="shared" si="1"/>
        <v>1534</v>
      </c>
      <c r="P8" s="654">
        <f t="shared" si="2"/>
        <v>6196</v>
      </c>
      <c r="Q8" s="594">
        <f t="shared" si="3"/>
        <v>13028</v>
      </c>
      <c r="R8" s="560">
        <f t="shared" si="4"/>
        <v>6.0643242896017413E-3</v>
      </c>
      <c r="S8" s="654">
        <f t="shared" si="5"/>
        <v>7953</v>
      </c>
      <c r="T8" s="654">
        <f t="shared" si="6"/>
        <v>-1</v>
      </c>
    </row>
    <row r="9" spans="1:20">
      <c r="A9" s="653" t="s">
        <v>14</v>
      </c>
      <c r="B9" s="655">
        <v>264</v>
      </c>
      <c r="C9" s="655">
        <v>0</v>
      </c>
      <c r="D9" s="656">
        <v>0</v>
      </c>
      <c r="E9" s="655">
        <v>9</v>
      </c>
      <c r="F9" s="655">
        <v>4925</v>
      </c>
      <c r="G9" s="655">
        <v>1012</v>
      </c>
      <c r="H9" s="655">
        <v>13241</v>
      </c>
      <c r="I9" s="655">
        <v>2219</v>
      </c>
      <c r="J9" s="655">
        <v>197</v>
      </c>
      <c r="K9" s="655">
        <v>869</v>
      </c>
      <c r="L9" s="655">
        <v>113</v>
      </c>
      <c r="M9" s="657">
        <v>22848</v>
      </c>
      <c r="N9" s="654">
        <f t="shared" si="0"/>
        <v>273</v>
      </c>
      <c r="O9" s="654">
        <f t="shared" si="1"/>
        <v>5937</v>
      </c>
      <c r="P9" s="654">
        <f t="shared" si="2"/>
        <v>16639</v>
      </c>
      <c r="Q9" s="594">
        <f t="shared" si="3"/>
        <v>37180</v>
      </c>
      <c r="R9" s="560">
        <f t="shared" si="4"/>
        <v>1.7306691517300639E-2</v>
      </c>
      <c r="S9" s="654">
        <f t="shared" si="5"/>
        <v>22849</v>
      </c>
      <c r="T9" s="654">
        <f t="shared" si="6"/>
        <v>1</v>
      </c>
    </row>
    <row r="10" spans="1:20">
      <c r="A10" s="653" t="s">
        <v>323</v>
      </c>
      <c r="B10" s="655">
        <v>193</v>
      </c>
      <c r="C10" s="655">
        <v>0</v>
      </c>
      <c r="D10" s="656">
        <v>0</v>
      </c>
      <c r="E10" s="655">
        <v>84</v>
      </c>
      <c r="F10" s="655">
        <v>4332</v>
      </c>
      <c r="G10" s="655">
        <v>435</v>
      </c>
      <c r="H10" s="655">
        <v>9282</v>
      </c>
      <c r="I10" s="655">
        <v>145</v>
      </c>
      <c r="J10" s="655">
        <v>119</v>
      </c>
      <c r="K10" s="655">
        <v>862</v>
      </c>
      <c r="L10" s="655">
        <v>83</v>
      </c>
      <c r="M10" s="657">
        <v>15533</v>
      </c>
      <c r="N10" s="654">
        <f t="shared" si="0"/>
        <v>277</v>
      </c>
      <c r="O10" s="654">
        <f t="shared" si="1"/>
        <v>4767</v>
      </c>
      <c r="P10" s="654">
        <f t="shared" si="2"/>
        <v>10491</v>
      </c>
      <c r="Q10" s="594">
        <f t="shared" si="3"/>
        <v>27562</v>
      </c>
      <c r="R10" s="560">
        <f t="shared" si="4"/>
        <v>1.2829667337273809E-2</v>
      </c>
      <c r="S10" s="654">
        <f t="shared" si="5"/>
        <v>15535</v>
      </c>
      <c r="T10" s="654">
        <f t="shared" si="6"/>
        <v>2</v>
      </c>
    </row>
    <row r="11" spans="1:20">
      <c r="A11" s="653" t="s">
        <v>336</v>
      </c>
      <c r="B11" s="655">
        <v>1126</v>
      </c>
      <c r="C11" s="655">
        <v>0</v>
      </c>
      <c r="D11" s="656">
        <v>89</v>
      </c>
      <c r="E11" s="655">
        <v>151</v>
      </c>
      <c r="F11" s="655">
        <v>3304</v>
      </c>
      <c r="G11" s="655">
        <v>546</v>
      </c>
      <c r="H11" s="655">
        <v>28275</v>
      </c>
      <c r="I11" s="655">
        <v>27</v>
      </c>
      <c r="J11" s="655">
        <v>266</v>
      </c>
      <c r="K11" s="655">
        <v>1052</v>
      </c>
      <c r="L11" s="655">
        <v>102</v>
      </c>
      <c r="M11" s="657">
        <v>34937</v>
      </c>
      <c r="N11" s="654">
        <f t="shared" si="0"/>
        <v>1277</v>
      </c>
      <c r="O11" s="654">
        <f t="shared" si="1"/>
        <v>3939</v>
      </c>
      <c r="P11" s="654">
        <f t="shared" si="2"/>
        <v>29722</v>
      </c>
      <c r="Q11" s="594">
        <f t="shared" si="3"/>
        <v>54309</v>
      </c>
      <c r="R11" s="560">
        <f t="shared" si="4"/>
        <v>2.5279965293520185E-2</v>
      </c>
      <c r="S11" s="654">
        <f t="shared" si="5"/>
        <v>34938</v>
      </c>
      <c r="T11" s="654">
        <f t="shared" si="6"/>
        <v>1</v>
      </c>
    </row>
    <row r="12" spans="1:20">
      <c r="A12" s="653" t="s">
        <v>63</v>
      </c>
      <c r="B12" s="655">
        <v>1303</v>
      </c>
      <c r="C12" s="655">
        <v>0</v>
      </c>
      <c r="D12" s="656">
        <v>586</v>
      </c>
      <c r="E12" s="655">
        <v>59</v>
      </c>
      <c r="F12" s="655">
        <v>7839</v>
      </c>
      <c r="G12" s="655">
        <v>1969</v>
      </c>
      <c r="H12" s="655">
        <v>31364</v>
      </c>
      <c r="I12" s="655">
        <v>516</v>
      </c>
      <c r="J12" s="655">
        <v>64</v>
      </c>
      <c r="K12" s="655">
        <v>0</v>
      </c>
      <c r="L12" s="655">
        <v>218</v>
      </c>
      <c r="M12" s="657">
        <v>43917</v>
      </c>
      <c r="N12" s="654">
        <f t="shared" si="0"/>
        <v>1362</v>
      </c>
      <c r="O12" s="654">
        <f t="shared" si="1"/>
        <v>10394</v>
      </c>
      <c r="P12" s="654">
        <f t="shared" si="2"/>
        <v>32162</v>
      </c>
      <c r="Q12" s="594">
        <f t="shared" si="3"/>
        <v>76964</v>
      </c>
      <c r="R12" s="560">
        <f t="shared" si="4"/>
        <v>3.5825503118276668E-2</v>
      </c>
      <c r="S12" s="654">
        <f t="shared" si="5"/>
        <v>43918</v>
      </c>
      <c r="T12" s="654">
        <f t="shared" si="6"/>
        <v>1</v>
      </c>
    </row>
    <row r="13" spans="1:20">
      <c r="A13" s="653" t="s">
        <v>45</v>
      </c>
      <c r="B13" s="655">
        <v>408</v>
      </c>
      <c r="C13" s="655">
        <v>1</v>
      </c>
      <c r="D13" s="656">
        <v>0</v>
      </c>
      <c r="E13" s="655">
        <v>104</v>
      </c>
      <c r="F13" s="655">
        <v>4062</v>
      </c>
      <c r="G13" s="655">
        <v>530</v>
      </c>
      <c r="H13" s="655">
        <v>13596</v>
      </c>
      <c r="I13" s="655">
        <v>15</v>
      </c>
      <c r="J13" s="655">
        <v>138</v>
      </c>
      <c r="K13" s="655">
        <v>1282</v>
      </c>
      <c r="L13" s="655">
        <v>29</v>
      </c>
      <c r="M13" s="657">
        <v>20164</v>
      </c>
      <c r="N13" s="654">
        <f t="shared" si="0"/>
        <v>512</v>
      </c>
      <c r="O13" s="654">
        <f t="shared" si="1"/>
        <v>4593</v>
      </c>
      <c r="P13" s="654">
        <f t="shared" si="2"/>
        <v>15060</v>
      </c>
      <c r="Q13" s="594">
        <f t="shared" si="3"/>
        <v>33959</v>
      </c>
      <c r="R13" s="560">
        <f t="shared" si="4"/>
        <v>1.5807367865411846E-2</v>
      </c>
      <c r="S13" s="654">
        <f t="shared" si="5"/>
        <v>20165</v>
      </c>
      <c r="T13" s="654">
        <f t="shared" si="6"/>
        <v>1</v>
      </c>
    </row>
    <row r="14" spans="1:20">
      <c r="A14" s="653" t="s">
        <v>329</v>
      </c>
      <c r="B14" s="655">
        <v>177</v>
      </c>
      <c r="C14" s="655">
        <v>0</v>
      </c>
      <c r="D14" s="656">
        <v>0</v>
      </c>
      <c r="E14" s="655">
        <v>12</v>
      </c>
      <c r="F14" s="655">
        <v>3566</v>
      </c>
      <c r="G14" s="655">
        <v>209</v>
      </c>
      <c r="H14" s="655">
        <v>7515</v>
      </c>
      <c r="I14" s="655">
        <v>19</v>
      </c>
      <c r="J14" s="655">
        <v>200</v>
      </c>
      <c r="K14" s="655">
        <v>112</v>
      </c>
      <c r="L14" s="655">
        <v>28</v>
      </c>
      <c r="M14" s="657">
        <v>11836</v>
      </c>
      <c r="N14" s="654">
        <f t="shared" si="0"/>
        <v>189</v>
      </c>
      <c r="O14" s="654">
        <f t="shared" si="1"/>
        <v>3775</v>
      </c>
      <c r="P14" s="654">
        <f t="shared" si="2"/>
        <v>7874</v>
      </c>
      <c r="Q14" s="594">
        <f t="shared" si="3"/>
        <v>21089</v>
      </c>
      <c r="R14" s="560">
        <f t="shared" si="4"/>
        <v>9.816590032500086E-3</v>
      </c>
      <c r="S14" s="654">
        <f t="shared" si="5"/>
        <v>11838</v>
      </c>
      <c r="T14" s="654">
        <f t="shared" si="6"/>
        <v>2</v>
      </c>
    </row>
    <row r="15" spans="1:20">
      <c r="A15" s="653" t="s">
        <v>324</v>
      </c>
      <c r="B15" s="655">
        <v>528</v>
      </c>
      <c r="C15" s="655">
        <v>1</v>
      </c>
      <c r="D15" s="656">
        <v>699</v>
      </c>
      <c r="E15" s="655">
        <v>27</v>
      </c>
      <c r="F15" s="655">
        <v>3144</v>
      </c>
      <c r="G15" s="655">
        <v>704</v>
      </c>
      <c r="H15" s="655">
        <v>11939</v>
      </c>
      <c r="I15" s="655">
        <v>0</v>
      </c>
      <c r="J15" s="655">
        <v>86</v>
      </c>
      <c r="K15" s="655">
        <v>395</v>
      </c>
      <c r="L15" s="655">
        <v>25</v>
      </c>
      <c r="M15" s="657">
        <v>17547</v>
      </c>
      <c r="N15" s="654">
        <f t="shared" si="0"/>
        <v>555</v>
      </c>
      <c r="O15" s="654">
        <f t="shared" si="1"/>
        <v>4548</v>
      </c>
      <c r="P15" s="654">
        <f t="shared" si="2"/>
        <v>12445</v>
      </c>
      <c r="Q15" s="594">
        <f t="shared" si="3"/>
        <v>31639</v>
      </c>
      <c r="R15" s="560">
        <f t="shared" si="4"/>
        <v>1.4727445210217186E-2</v>
      </c>
      <c r="S15" s="654">
        <f t="shared" si="5"/>
        <v>17548</v>
      </c>
      <c r="T15" s="654">
        <f t="shared" si="6"/>
        <v>1</v>
      </c>
    </row>
    <row r="16" spans="1:20">
      <c r="A16" s="653" t="s">
        <v>37</v>
      </c>
      <c r="B16" s="655">
        <v>1259</v>
      </c>
      <c r="C16" s="655">
        <v>0</v>
      </c>
      <c r="D16" s="656">
        <v>1025</v>
      </c>
      <c r="E16" s="655">
        <v>128</v>
      </c>
      <c r="F16" s="655">
        <v>4302</v>
      </c>
      <c r="G16" s="655">
        <v>775</v>
      </c>
      <c r="H16" s="655">
        <v>28405</v>
      </c>
      <c r="I16" s="655">
        <v>0</v>
      </c>
      <c r="J16" s="655">
        <v>240</v>
      </c>
      <c r="K16" s="655">
        <v>0</v>
      </c>
      <c r="L16" s="655">
        <v>350</v>
      </c>
      <c r="M16" s="657">
        <v>36484</v>
      </c>
      <c r="N16" s="654">
        <f t="shared" si="0"/>
        <v>1387</v>
      </c>
      <c r="O16" s="654">
        <f t="shared" si="1"/>
        <v>6102</v>
      </c>
      <c r="P16" s="654">
        <f t="shared" si="2"/>
        <v>28995</v>
      </c>
      <c r="Q16" s="594">
        <f t="shared" si="3"/>
        <v>61171</v>
      </c>
      <c r="R16" s="560">
        <f t="shared" si="4"/>
        <v>2.8474115836600256E-2</v>
      </c>
      <c r="S16" s="654">
        <f t="shared" si="5"/>
        <v>36484</v>
      </c>
      <c r="T16" s="654">
        <f t="shared" si="6"/>
        <v>0</v>
      </c>
    </row>
    <row r="17" spans="1:20">
      <c r="A17" s="653" t="s">
        <v>38</v>
      </c>
      <c r="B17" s="655">
        <v>501</v>
      </c>
      <c r="C17" s="655">
        <v>0</v>
      </c>
      <c r="D17" s="656">
        <v>0</v>
      </c>
      <c r="E17" s="655">
        <v>57</v>
      </c>
      <c r="F17" s="655">
        <v>2201</v>
      </c>
      <c r="G17" s="655">
        <v>388</v>
      </c>
      <c r="H17" s="655">
        <v>9876</v>
      </c>
      <c r="I17" s="655">
        <v>0</v>
      </c>
      <c r="J17" s="655">
        <v>529</v>
      </c>
      <c r="K17" s="655">
        <v>240</v>
      </c>
      <c r="L17" s="655">
        <v>150</v>
      </c>
      <c r="M17" s="657">
        <v>13942</v>
      </c>
      <c r="N17" s="654">
        <f t="shared" si="0"/>
        <v>558</v>
      </c>
      <c r="O17" s="654">
        <f t="shared" si="1"/>
        <v>2589</v>
      </c>
      <c r="P17" s="654">
        <f t="shared" si="2"/>
        <v>10795</v>
      </c>
      <c r="Q17" s="594">
        <f t="shared" si="3"/>
        <v>24142</v>
      </c>
      <c r="R17" s="560">
        <f t="shared" si="4"/>
        <v>1.1237712388667888E-2</v>
      </c>
      <c r="S17" s="654">
        <f t="shared" si="5"/>
        <v>13942</v>
      </c>
      <c r="T17" s="654">
        <f t="shared" si="6"/>
        <v>0</v>
      </c>
    </row>
    <row r="18" spans="1:20">
      <c r="A18" s="653" t="s">
        <v>26</v>
      </c>
      <c r="B18" s="655">
        <v>828</v>
      </c>
      <c r="C18" s="655">
        <v>0</v>
      </c>
      <c r="D18" s="656">
        <v>0</v>
      </c>
      <c r="E18" s="655">
        <v>113</v>
      </c>
      <c r="F18" s="655">
        <v>3887</v>
      </c>
      <c r="G18" s="655">
        <v>487</v>
      </c>
      <c r="H18" s="655">
        <v>21573</v>
      </c>
      <c r="I18" s="655">
        <v>0</v>
      </c>
      <c r="J18" s="655">
        <v>358</v>
      </c>
      <c r="K18" s="655">
        <v>135</v>
      </c>
      <c r="L18" s="655">
        <v>26</v>
      </c>
      <c r="M18" s="657">
        <v>27406</v>
      </c>
      <c r="N18" s="654">
        <f t="shared" si="0"/>
        <v>941</v>
      </c>
      <c r="O18" s="654">
        <f t="shared" si="1"/>
        <v>4374</v>
      </c>
      <c r="P18" s="654">
        <f t="shared" si="2"/>
        <v>22092</v>
      </c>
      <c r="Q18" s="594">
        <f t="shared" si="3"/>
        <v>44624</v>
      </c>
      <c r="R18" s="560">
        <f t="shared" si="4"/>
        <v>2.0771753691985577E-2</v>
      </c>
      <c r="S18" s="654">
        <f t="shared" si="5"/>
        <v>27407</v>
      </c>
      <c r="T18" s="654">
        <f t="shared" si="6"/>
        <v>1</v>
      </c>
    </row>
    <row r="19" spans="1:20">
      <c r="A19" s="653" t="s">
        <v>15</v>
      </c>
      <c r="B19" s="655">
        <v>905</v>
      </c>
      <c r="C19" s="655">
        <v>0</v>
      </c>
      <c r="D19" s="656">
        <v>0</v>
      </c>
      <c r="E19" s="655">
        <v>302</v>
      </c>
      <c r="F19" s="655">
        <v>5778</v>
      </c>
      <c r="G19" s="655">
        <v>209</v>
      </c>
      <c r="H19" s="655">
        <v>23555</v>
      </c>
      <c r="I19" s="655">
        <v>0</v>
      </c>
      <c r="J19" s="655">
        <v>968</v>
      </c>
      <c r="K19" s="655">
        <v>345</v>
      </c>
      <c r="L19" s="655">
        <v>191</v>
      </c>
      <c r="M19" s="657">
        <v>32252</v>
      </c>
      <c r="N19" s="654">
        <f t="shared" si="0"/>
        <v>1207</v>
      </c>
      <c r="O19" s="654">
        <f t="shared" si="1"/>
        <v>5987</v>
      </c>
      <c r="P19" s="654">
        <f t="shared" si="2"/>
        <v>25059</v>
      </c>
      <c r="Q19" s="594">
        <f t="shared" si="3"/>
        <v>55090</v>
      </c>
      <c r="R19" s="560">
        <f t="shared" si="4"/>
        <v>2.5643508221842179E-2</v>
      </c>
      <c r="S19" s="654">
        <f t="shared" si="5"/>
        <v>32253</v>
      </c>
      <c r="T19" s="654">
        <f t="shared" si="6"/>
        <v>1</v>
      </c>
    </row>
    <row r="20" spans="1:20">
      <c r="A20" s="653" t="s">
        <v>28</v>
      </c>
      <c r="B20" s="655">
        <v>3564</v>
      </c>
      <c r="C20" s="655">
        <v>0</v>
      </c>
      <c r="D20" s="656">
        <v>0</v>
      </c>
      <c r="E20" s="655">
        <v>168</v>
      </c>
      <c r="F20" s="655">
        <v>15397</v>
      </c>
      <c r="G20" s="655">
        <v>1364</v>
      </c>
      <c r="H20" s="655">
        <v>47054</v>
      </c>
      <c r="I20" s="655">
        <v>0</v>
      </c>
      <c r="J20" s="655">
        <v>318</v>
      </c>
      <c r="K20" s="655">
        <v>10</v>
      </c>
      <c r="L20" s="655">
        <v>118</v>
      </c>
      <c r="M20" s="657">
        <v>67993</v>
      </c>
      <c r="N20" s="654">
        <f t="shared" si="0"/>
        <v>3732</v>
      </c>
      <c r="O20" s="654">
        <f t="shared" si="1"/>
        <v>16761</v>
      </c>
      <c r="P20" s="654">
        <f t="shared" si="2"/>
        <v>47500</v>
      </c>
      <c r="Q20" s="594">
        <f t="shared" si="3"/>
        <v>135103</v>
      </c>
      <c r="R20" s="560">
        <f>SUM(Q20/($Q$45+$Q$57))</f>
        <v>6.2888271760674241E-2</v>
      </c>
      <c r="S20" s="654">
        <f t="shared" si="5"/>
        <v>67993</v>
      </c>
      <c r="T20" s="654">
        <f t="shared" si="6"/>
        <v>0</v>
      </c>
    </row>
    <row r="21" spans="1:20">
      <c r="A21" s="653" t="s">
        <v>46</v>
      </c>
      <c r="B21" s="655">
        <v>469</v>
      </c>
      <c r="C21" s="655">
        <v>0</v>
      </c>
      <c r="D21" s="656">
        <v>0</v>
      </c>
      <c r="E21" s="655">
        <v>69</v>
      </c>
      <c r="F21" s="655">
        <v>2044</v>
      </c>
      <c r="G21" s="655">
        <v>449</v>
      </c>
      <c r="H21" s="655">
        <v>13204</v>
      </c>
      <c r="I21" s="655">
        <v>0</v>
      </c>
      <c r="J21" s="655">
        <v>95</v>
      </c>
      <c r="K21" s="655">
        <v>947</v>
      </c>
      <c r="L21" s="655">
        <v>33</v>
      </c>
      <c r="M21" s="657">
        <v>17310</v>
      </c>
      <c r="N21" s="654">
        <f t="shared" si="0"/>
        <v>538</v>
      </c>
      <c r="O21" s="654">
        <f t="shared" si="1"/>
        <v>2493</v>
      </c>
      <c r="P21" s="654">
        <f t="shared" si="2"/>
        <v>14279</v>
      </c>
      <c r="Q21" s="594">
        <f t="shared" si="3"/>
        <v>27138</v>
      </c>
      <c r="R21" s="560">
        <f t="shared" si="4"/>
        <v>1.2632302162358923E-2</v>
      </c>
      <c r="S21" s="654">
        <f t="shared" si="5"/>
        <v>17310</v>
      </c>
      <c r="T21" s="654">
        <f t="shared" si="6"/>
        <v>0</v>
      </c>
    </row>
    <row r="22" spans="1:20">
      <c r="A22" s="653" t="s">
        <v>39</v>
      </c>
      <c r="B22" s="655">
        <v>1334</v>
      </c>
      <c r="C22" s="655">
        <v>1</v>
      </c>
      <c r="D22" s="656">
        <v>0</v>
      </c>
      <c r="E22" s="655">
        <v>259</v>
      </c>
      <c r="F22" s="655">
        <v>3694</v>
      </c>
      <c r="G22" s="655">
        <v>1368</v>
      </c>
      <c r="H22" s="655">
        <v>29950</v>
      </c>
      <c r="I22" s="655">
        <v>0</v>
      </c>
      <c r="J22" s="655">
        <v>539</v>
      </c>
      <c r="K22" s="655">
        <v>0</v>
      </c>
      <c r="L22" s="655">
        <v>141</v>
      </c>
      <c r="M22" s="657">
        <v>37284</v>
      </c>
      <c r="N22" s="654">
        <f t="shared" si="0"/>
        <v>1593</v>
      </c>
      <c r="O22" s="654">
        <f t="shared" si="1"/>
        <v>5063</v>
      </c>
      <c r="P22" s="654">
        <f t="shared" si="2"/>
        <v>30630</v>
      </c>
      <c r="Q22" s="594">
        <f t="shared" si="3"/>
        <v>61749</v>
      </c>
      <c r="R22" s="560">
        <f t="shared" si="4"/>
        <v>2.8743165532592718E-2</v>
      </c>
      <c r="S22" s="654">
        <f t="shared" si="5"/>
        <v>37286</v>
      </c>
      <c r="T22" s="654">
        <f t="shared" si="6"/>
        <v>2</v>
      </c>
    </row>
    <row r="23" spans="1:20">
      <c r="A23" s="653" t="s">
        <v>29</v>
      </c>
      <c r="B23" s="655">
        <v>1510</v>
      </c>
      <c r="C23" s="655">
        <v>0</v>
      </c>
      <c r="D23" s="656">
        <v>0</v>
      </c>
      <c r="E23" s="655">
        <v>125</v>
      </c>
      <c r="F23" s="655">
        <v>7708</v>
      </c>
      <c r="G23" s="655">
        <v>1799</v>
      </c>
      <c r="H23" s="655">
        <v>37790</v>
      </c>
      <c r="I23" s="655">
        <v>2723</v>
      </c>
      <c r="J23" s="655">
        <v>487</v>
      </c>
      <c r="K23" s="655">
        <v>9</v>
      </c>
      <c r="L23" s="655">
        <v>336</v>
      </c>
      <c r="M23" s="657">
        <v>52486</v>
      </c>
      <c r="N23" s="654">
        <f t="shared" si="0"/>
        <v>1635</v>
      </c>
      <c r="O23" s="654">
        <f t="shared" si="1"/>
        <v>9507</v>
      </c>
      <c r="P23" s="654">
        <f t="shared" si="2"/>
        <v>41345</v>
      </c>
      <c r="Q23" s="594">
        <f t="shared" si="3"/>
        <v>86216</v>
      </c>
      <c r="R23" s="560">
        <f t="shared" si="4"/>
        <v>4.0132160189768479E-2</v>
      </c>
      <c r="S23" s="654">
        <f t="shared" si="5"/>
        <v>52487</v>
      </c>
      <c r="T23" s="654">
        <f t="shared" si="6"/>
        <v>1</v>
      </c>
    </row>
    <row r="24" spans="1:20">
      <c r="A24" s="653" t="s">
        <v>16</v>
      </c>
      <c r="B24" s="655">
        <v>197</v>
      </c>
      <c r="C24" s="655">
        <v>0</v>
      </c>
      <c r="D24" s="656">
        <v>0</v>
      </c>
      <c r="E24" s="655">
        <v>33</v>
      </c>
      <c r="F24" s="655">
        <v>2025</v>
      </c>
      <c r="G24" s="655">
        <v>468</v>
      </c>
      <c r="H24" s="655">
        <v>8141</v>
      </c>
      <c r="I24" s="655">
        <v>210</v>
      </c>
      <c r="J24" s="655">
        <v>189</v>
      </c>
      <c r="K24" s="655">
        <v>578</v>
      </c>
      <c r="L24" s="655">
        <v>51</v>
      </c>
      <c r="M24" s="657">
        <v>11892</v>
      </c>
      <c r="N24" s="654">
        <f t="shared" si="0"/>
        <v>230</v>
      </c>
      <c r="O24" s="654">
        <f t="shared" si="1"/>
        <v>2493</v>
      </c>
      <c r="P24" s="654">
        <f t="shared" si="2"/>
        <v>9169</v>
      </c>
      <c r="Q24" s="594">
        <f t="shared" si="3"/>
        <v>18948</v>
      </c>
      <c r="R24" s="560">
        <f t="shared" si="4"/>
        <v>8.8199889959605302E-3</v>
      </c>
      <c r="S24" s="654">
        <f t="shared" si="5"/>
        <v>11892</v>
      </c>
      <c r="T24" s="654">
        <f t="shared" si="6"/>
        <v>0</v>
      </c>
    </row>
    <row r="25" spans="1:20">
      <c r="A25" s="653" t="s">
        <v>30</v>
      </c>
      <c r="B25" s="655">
        <v>1037</v>
      </c>
      <c r="C25" s="655">
        <v>0</v>
      </c>
      <c r="D25" s="656">
        <v>0</v>
      </c>
      <c r="E25" s="655">
        <v>128</v>
      </c>
      <c r="F25" s="655">
        <v>2744</v>
      </c>
      <c r="G25" s="655">
        <v>557</v>
      </c>
      <c r="H25" s="655">
        <v>20998</v>
      </c>
      <c r="I25" s="655">
        <v>115</v>
      </c>
      <c r="J25" s="655">
        <v>1027</v>
      </c>
      <c r="K25" s="655">
        <v>0</v>
      </c>
      <c r="L25" s="655">
        <v>61</v>
      </c>
      <c r="M25" s="657">
        <v>26666</v>
      </c>
      <c r="N25" s="654">
        <f t="shared" si="0"/>
        <v>1165</v>
      </c>
      <c r="O25" s="654">
        <f t="shared" si="1"/>
        <v>3301</v>
      </c>
      <c r="P25" s="654">
        <f t="shared" si="2"/>
        <v>22201</v>
      </c>
      <c r="Q25" s="594">
        <f t="shared" si="3"/>
        <v>43754</v>
      </c>
      <c r="R25" s="560">
        <f>SUM(Q25/($Q$45+$Q$57))</f>
        <v>2.036678269628758E-2</v>
      </c>
      <c r="S25" s="654">
        <f t="shared" si="5"/>
        <v>26667</v>
      </c>
      <c r="T25" s="654">
        <f t="shared" si="6"/>
        <v>1</v>
      </c>
    </row>
    <row r="26" spans="1:20">
      <c r="A26" s="653" t="s">
        <v>75</v>
      </c>
      <c r="B26" s="655">
        <v>1384</v>
      </c>
      <c r="C26" s="655">
        <v>0</v>
      </c>
      <c r="D26" s="656">
        <v>197</v>
      </c>
      <c r="E26" s="655">
        <v>236</v>
      </c>
      <c r="F26" s="655">
        <v>3802</v>
      </c>
      <c r="G26" s="655">
        <v>487</v>
      </c>
      <c r="H26" s="655">
        <v>16749</v>
      </c>
      <c r="I26" s="655">
        <v>0</v>
      </c>
      <c r="J26" s="655">
        <v>196</v>
      </c>
      <c r="K26" s="655">
        <v>73</v>
      </c>
      <c r="L26" s="655">
        <v>39</v>
      </c>
      <c r="M26" s="657">
        <v>23162</v>
      </c>
      <c r="N26" s="654">
        <f t="shared" si="0"/>
        <v>1620</v>
      </c>
      <c r="O26" s="654">
        <f t="shared" si="1"/>
        <v>4486</v>
      </c>
      <c r="P26" s="654">
        <f t="shared" si="2"/>
        <v>17057</v>
      </c>
      <c r="Q26" s="594">
        <f t="shared" si="3"/>
        <v>46715</v>
      </c>
      <c r="R26" s="560">
        <f>SUM(Q26/($Q$45+$Q$57))</f>
        <v>2.1745080533370077E-2</v>
      </c>
      <c r="S26" s="654">
        <f t="shared" si="5"/>
        <v>23163</v>
      </c>
      <c r="T26" s="654">
        <f t="shared" si="6"/>
        <v>1</v>
      </c>
    </row>
    <row r="27" spans="1:20">
      <c r="A27" s="653" t="s">
        <v>60</v>
      </c>
      <c r="B27" s="655">
        <v>347</v>
      </c>
      <c r="C27" s="655">
        <v>0</v>
      </c>
      <c r="D27" s="656">
        <v>44</v>
      </c>
      <c r="E27" s="655">
        <v>29</v>
      </c>
      <c r="F27" s="655">
        <v>1859</v>
      </c>
      <c r="G27" s="655">
        <v>250</v>
      </c>
      <c r="H27" s="655">
        <v>8564</v>
      </c>
      <c r="I27" s="655">
        <v>0</v>
      </c>
      <c r="J27" s="655">
        <v>228</v>
      </c>
      <c r="K27" s="655">
        <v>182</v>
      </c>
      <c r="L27" s="655">
        <v>27</v>
      </c>
      <c r="M27" s="657">
        <v>11531</v>
      </c>
      <c r="N27" s="654">
        <f t="shared" si="0"/>
        <v>376</v>
      </c>
      <c r="O27" s="654">
        <f t="shared" si="1"/>
        <v>2153</v>
      </c>
      <c r="P27" s="654">
        <f t="shared" si="2"/>
        <v>9001</v>
      </c>
      <c r="Q27" s="594">
        <f t="shared" si="3"/>
        <v>19220</v>
      </c>
      <c r="R27" s="560">
        <f>SUM(Q27/($Q$45+$Q$57))</f>
        <v>8.9466006176040433E-3</v>
      </c>
      <c r="S27" s="654">
        <f t="shared" si="5"/>
        <v>11530</v>
      </c>
      <c r="T27" s="654">
        <f t="shared" si="6"/>
        <v>-1</v>
      </c>
    </row>
    <row r="28" spans="1:20">
      <c r="A28" s="653" t="s">
        <v>76</v>
      </c>
      <c r="B28" s="655">
        <v>2944</v>
      </c>
      <c r="C28" s="655">
        <v>1</v>
      </c>
      <c r="D28" s="656">
        <v>45</v>
      </c>
      <c r="E28" s="655">
        <v>179</v>
      </c>
      <c r="F28" s="655">
        <v>20634</v>
      </c>
      <c r="G28" s="655">
        <v>1509</v>
      </c>
      <c r="H28" s="655">
        <v>26296</v>
      </c>
      <c r="I28" s="655">
        <v>1</v>
      </c>
      <c r="J28" s="655">
        <v>347</v>
      </c>
      <c r="K28" s="655">
        <v>24</v>
      </c>
      <c r="L28" s="655">
        <v>184</v>
      </c>
      <c r="M28" s="657">
        <v>52163</v>
      </c>
      <c r="N28" s="654">
        <f t="shared" si="0"/>
        <v>3123</v>
      </c>
      <c r="O28" s="654">
        <f t="shared" si="1"/>
        <v>22189</v>
      </c>
      <c r="P28" s="654">
        <f t="shared" si="2"/>
        <v>26852</v>
      </c>
      <c r="Q28" s="594">
        <f t="shared" si="3"/>
        <v>124649</v>
      </c>
      <c r="R28" s="560">
        <f>SUM(Q28/($Q$45+$Q$57))</f>
        <v>5.8022103037654857E-2</v>
      </c>
      <c r="S28" s="654">
        <f t="shared" si="5"/>
        <v>52164</v>
      </c>
      <c r="T28" s="654">
        <f t="shared" si="6"/>
        <v>1</v>
      </c>
    </row>
    <row r="29" spans="1:20">
      <c r="A29" s="653" t="s">
        <v>77</v>
      </c>
      <c r="B29" s="655">
        <v>390</v>
      </c>
      <c r="C29" s="655">
        <v>0</v>
      </c>
      <c r="D29" s="656">
        <v>0</v>
      </c>
      <c r="E29" s="655">
        <v>62</v>
      </c>
      <c r="F29" s="655">
        <v>2267</v>
      </c>
      <c r="G29" s="655">
        <v>547</v>
      </c>
      <c r="H29" s="655">
        <v>8789</v>
      </c>
      <c r="I29" s="655">
        <v>0</v>
      </c>
      <c r="J29" s="655">
        <v>623</v>
      </c>
      <c r="K29" s="655">
        <v>240</v>
      </c>
      <c r="L29" s="655">
        <v>51</v>
      </c>
      <c r="M29" s="657">
        <v>12969</v>
      </c>
      <c r="N29" s="654">
        <f t="shared" si="0"/>
        <v>452</v>
      </c>
      <c r="O29" s="654">
        <f t="shared" si="1"/>
        <v>2814</v>
      </c>
      <c r="P29" s="654">
        <f t="shared" si="2"/>
        <v>9703</v>
      </c>
      <c r="Q29" s="594">
        <f t="shared" si="3"/>
        <v>22665</v>
      </c>
      <c r="R29" s="560">
        <f t="shared" si="4"/>
        <v>1.0550192663787494E-2</v>
      </c>
      <c r="S29" s="654">
        <f t="shared" si="5"/>
        <v>12969</v>
      </c>
      <c r="T29" s="654">
        <f t="shared" si="6"/>
        <v>0</v>
      </c>
    </row>
    <row r="30" spans="1:20">
      <c r="A30" s="653" t="s">
        <v>78</v>
      </c>
      <c r="B30" s="655">
        <v>2835</v>
      </c>
      <c r="C30" s="655">
        <v>0</v>
      </c>
      <c r="D30" s="656">
        <v>0</v>
      </c>
      <c r="E30" s="655">
        <v>221</v>
      </c>
      <c r="F30" s="655">
        <v>10226</v>
      </c>
      <c r="G30" s="655">
        <v>861</v>
      </c>
      <c r="H30" s="655">
        <v>30201</v>
      </c>
      <c r="I30" s="655">
        <v>0</v>
      </c>
      <c r="J30" s="655">
        <v>282</v>
      </c>
      <c r="K30" s="655">
        <v>106</v>
      </c>
      <c r="L30" s="655">
        <v>547</v>
      </c>
      <c r="M30" s="657">
        <v>45280</v>
      </c>
      <c r="N30" s="654">
        <f t="shared" si="0"/>
        <v>3056</v>
      </c>
      <c r="O30" s="654">
        <f t="shared" si="1"/>
        <v>11087</v>
      </c>
      <c r="P30" s="654">
        <f t="shared" si="2"/>
        <v>31136</v>
      </c>
      <c r="Q30" s="594">
        <f t="shared" si="3"/>
        <v>94957</v>
      </c>
      <c r="R30" s="560">
        <f t="shared" si="4"/>
        <v>4.4200954986775599E-2</v>
      </c>
      <c r="S30" s="654">
        <f t="shared" si="5"/>
        <v>45279</v>
      </c>
      <c r="T30" s="654">
        <f t="shared" si="6"/>
        <v>-1</v>
      </c>
    </row>
    <row r="31" spans="1:20">
      <c r="A31" s="653" t="s">
        <v>79</v>
      </c>
      <c r="B31" s="655">
        <v>1235</v>
      </c>
      <c r="C31" s="655">
        <v>1</v>
      </c>
      <c r="D31" s="656">
        <v>86</v>
      </c>
      <c r="E31" s="655">
        <v>55</v>
      </c>
      <c r="F31" s="655">
        <v>2439</v>
      </c>
      <c r="G31" s="655">
        <v>399</v>
      </c>
      <c r="H31" s="655">
        <v>20142</v>
      </c>
      <c r="I31" s="655">
        <v>2</v>
      </c>
      <c r="J31" s="655">
        <v>48</v>
      </c>
      <c r="K31" s="655">
        <v>1810</v>
      </c>
      <c r="L31" s="655">
        <v>61</v>
      </c>
      <c r="M31" s="657">
        <v>26277</v>
      </c>
      <c r="N31" s="654">
        <f t="shared" si="0"/>
        <v>1290</v>
      </c>
      <c r="O31" s="654">
        <f t="shared" si="1"/>
        <v>2925</v>
      </c>
      <c r="P31" s="654">
        <f t="shared" si="2"/>
        <v>22063</v>
      </c>
      <c r="Q31" s="594">
        <f t="shared" si="3"/>
        <v>43738</v>
      </c>
      <c r="R31" s="560">
        <f t="shared" si="4"/>
        <v>2.035933495383796E-2</v>
      </c>
      <c r="S31" s="654">
        <f t="shared" si="5"/>
        <v>26278</v>
      </c>
      <c r="T31" s="654">
        <f t="shared" si="6"/>
        <v>1</v>
      </c>
    </row>
    <row r="32" spans="1:20">
      <c r="A32" s="653" t="s">
        <v>80</v>
      </c>
      <c r="B32" s="655">
        <v>107</v>
      </c>
      <c r="C32" s="655">
        <v>0</v>
      </c>
      <c r="D32" s="656">
        <v>901</v>
      </c>
      <c r="E32" s="655">
        <v>58</v>
      </c>
      <c r="F32" s="655">
        <v>492</v>
      </c>
      <c r="G32" s="655">
        <v>422</v>
      </c>
      <c r="H32" s="655">
        <v>7233</v>
      </c>
      <c r="I32" s="655">
        <v>0</v>
      </c>
      <c r="J32" s="655">
        <v>28</v>
      </c>
      <c r="K32" s="655">
        <v>340</v>
      </c>
      <c r="L32" s="655">
        <v>70</v>
      </c>
      <c r="M32" s="657">
        <v>9650</v>
      </c>
      <c r="N32" s="654">
        <f t="shared" si="0"/>
        <v>165</v>
      </c>
      <c r="O32" s="654">
        <f t="shared" si="1"/>
        <v>1815</v>
      </c>
      <c r="P32" s="654">
        <f>SUM(H32:L32)</f>
        <v>7671</v>
      </c>
      <c r="Q32" s="594">
        <f t="shared" si="3"/>
        <v>14766</v>
      </c>
      <c r="R32" s="560">
        <f t="shared" si="4"/>
        <v>6.8733353131915347E-3</v>
      </c>
      <c r="S32" s="654">
        <f t="shared" si="5"/>
        <v>9651</v>
      </c>
      <c r="T32" s="654">
        <f t="shared" si="6"/>
        <v>1</v>
      </c>
    </row>
    <row r="33" spans="1:20">
      <c r="A33" s="653" t="s">
        <v>81</v>
      </c>
      <c r="B33" s="655">
        <v>3108</v>
      </c>
      <c r="C33" s="655">
        <v>19</v>
      </c>
      <c r="D33" s="656">
        <v>1861</v>
      </c>
      <c r="E33" s="655">
        <v>213</v>
      </c>
      <c r="F33" s="655">
        <v>8799</v>
      </c>
      <c r="G33" s="655">
        <v>712</v>
      </c>
      <c r="H33" s="655">
        <v>27463</v>
      </c>
      <c r="I33" s="655">
        <v>49</v>
      </c>
      <c r="J33" s="655">
        <v>206</v>
      </c>
      <c r="K33" s="655">
        <v>227</v>
      </c>
      <c r="L33" s="655">
        <v>128</v>
      </c>
      <c r="M33" s="657">
        <v>42786</v>
      </c>
      <c r="N33" s="654">
        <f t="shared" si="0"/>
        <v>3321</v>
      </c>
      <c r="O33" s="654">
        <f t="shared" si="1"/>
        <v>11391</v>
      </c>
      <c r="P33" s="654">
        <f t="shared" si="2"/>
        <v>28073</v>
      </c>
      <c r="Q33" s="594">
        <f t="shared" si="3"/>
        <v>95456</v>
      </c>
      <c r="R33" s="560">
        <f t="shared" si="4"/>
        <v>4.4433231454423072E-2</v>
      </c>
      <c r="S33" s="654">
        <f t="shared" si="5"/>
        <v>42785</v>
      </c>
      <c r="T33" s="654">
        <f t="shared" si="6"/>
        <v>-1</v>
      </c>
    </row>
    <row r="34" spans="1:20" s="648" customFormat="1">
      <c r="A34" s="653" t="s">
        <v>52</v>
      </c>
      <c r="B34" s="655">
        <v>596</v>
      </c>
      <c r="C34" s="655">
        <v>0</v>
      </c>
      <c r="D34" s="656">
        <v>0</v>
      </c>
      <c r="E34" s="655">
        <v>89</v>
      </c>
      <c r="F34" s="655">
        <v>3117</v>
      </c>
      <c r="G34" s="655">
        <v>626</v>
      </c>
      <c r="H34" s="655">
        <v>20187</v>
      </c>
      <c r="I34" s="655">
        <v>62</v>
      </c>
      <c r="J34" s="655">
        <v>360</v>
      </c>
      <c r="K34" s="655">
        <v>693</v>
      </c>
      <c r="L34" s="655">
        <v>37</v>
      </c>
      <c r="M34" s="657">
        <v>25767</v>
      </c>
      <c r="N34" s="654">
        <f t="shared" si="0"/>
        <v>685</v>
      </c>
      <c r="O34" s="654">
        <f t="shared" si="1"/>
        <v>3743</v>
      </c>
      <c r="P34" s="654">
        <f t="shared" si="2"/>
        <v>21339</v>
      </c>
      <c r="Q34" s="594">
        <f t="shared" si="3"/>
        <v>39418</v>
      </c>
      <c r="R34" s="560">
        <f t="shared" si="4"/>
        <v>1.8348444492441007E-2</v>
      </c>
      <c r="S34" s="654">
        <f t="shared" si="5"/>
        <v>25767</v>
      </c>
      <c r="T34" s="654">
        <f t="shared" si="6"/>
        <v>0</v>
      </c>
    </row>
    <row r="35" spans="1:20">
      <c r="A35" s="653" t="s">
        <v>41</v>
      </c>
      <c r="B35" s="655">
        <v>491</v>
      </c>
      <c r="C35" s="655">
        <v>0</v>
      </c>
      <c r="D35" s="656">
        <v>0</v>
      </c>
      <c r="E35" s="655">
        <v>68</v>
      </c>
      <c r="F35" s="655">
        <v>1707</v>
      </c>
      <c r="G35" s="655">
        <v>418</v>
      </c>
      <c r="H35" s="655">
        <v>9407</v>
      </c>
      <c r="I35" s="655">
        <v>479</v>
      </c>
      <c r="J35" s="655">
        <v>121</v>
      </c>
      <c r="K35" s="655">
        <v>1198</v>
      </c>
      <c r="L35" s="655">
        <v>83</v>
      </c>
      <c r="M35" s="657">
        <v>13971</v>
      </c>
      <c r="N35" s="654">
        <f t="shared" si="0"/>
        <v>559</v>
      </c>
      <c r="O35" s="654">
        <f t="shared" si="1"/>
        <v>2125</v>
      </c>
      <c r="P35" s="654">
        <f t="shared" si="2"/>
        <v>11288</v>
      </c>
      <c r="Q35" s="594">
        <f t="shared" si="3"/>
        <v>23253</v>
      </c>
      <c r="R35" s="560">
        <f t="shared" si="4"/>
        <v>1.0823897198810968E-2</v>
      </c>
      <c r="S35" s="654">
        <f t="shared" si="5"/>
        <v>13972</v>
      </c>
      <c r="T35" s="654">
        <f t="shared" si="6"/>
        <v>1</v>
      </c>
    </row>
    <row r="36" spans="1:20">
      <c r="A36" s="653" t="s">
        <v>82</v>
      </c>
      <c r="B36" s="655">
        <v>2745</v>
      </c>
      <c r="C36" s="655">
        <v>30</v>
      </c>
      <c r="D36" s="656">
        <v>0</v>
      </c>
      <c r="E36" s="655">
        <v>461</v>
      </c>
      <c r="F36" s="655">
        <v>16939</v>
      </c>
      <c r="G36" s="655">
        <v>1043</v>
      </c>
      <c r="H36" s="655">
        <v>32482</v>
      </c>
      <c r="I36" s="655">
        <v>0</v>
      </c>
      <c r="J36" s="655">
        <v>76</v>
      </c>
      <c r="K36" s="655">
        <v>0</v>
      </c>
      <c r="L36" s="655">
        <v>290</v>
      </c>
      <c r="M36" s="657">
        <v>54065</v>
      </c>
      <c r="N36" s="654">
        <f t="shared" si="0"/>
        <v>3206</v>
      </c>
      <c r="O36" s="654">
        <f t="shared" si="1"/>
        <v>18012</v>
      </c>
      <c r="P36" s="654">
        <f t="shared" si="2"/>
        <v>32848</v>
      </c>
      <c r="Q36" s="594">
        <f t="shared" si="3"/>
        <v>118944</v>
      </c>
      <c r="R36" s="560">
        <f t="shared" si="4"/>
        <v>5.536651737046281E-2</v>
      </c>
      <c r="S36" s="654">
        <f t="shared" si="5"/>
        <v>54066</v>
      </c>
      <c r="T36" s="654">
        <f t="shared" si="6"/>
        <v>1</v>
      </c>
    </row>
    <row r="37" spans="1:20">
      <c r="A37" s="653" t="s">
        <v>54</v>
      </c>
      <c r="B37" s="655">
        <v>1032</v>
      </c>
      <c r="C37" s="655">
        <v>0</v>
      </c>
      <c r="D37" s="656">
        <v>0</v>
      </c>
      <c r="E37" s="655">
        <v>49</v>
      </c>
      <c r="F37" s="655">
        <v>3447</v>
      </c>
      <c r="G37" s="655">
        <v>873</v>
      </c>
      <c r="H37" s="655">
        <v>13621</v>
      </c>
      <c r="I37" s="655">
        <v>399</v>
      </c>
      <c r="J37" s="655">
        <v>3087</v>
      </c>
      <c r="K37" s="655">
        <v>875</v>
      </c>
      <c r="L37" s="655">
        <v>15</v>
      </c>
      <c r="M37" s="657">
        <v>23399</v>
      </c>
      <c r="N37" s="654">
        <f t="shared" si="0"/>
        <v>1081</v>
      </c>
      <c r="O37" s="654">
        <f>SUM(C37+D37+F37+G37)</f>
        <v>4320</v>
      </c>
      <c r="P37" s="654">
        <f t="shared" si="2"/>
        <v>17997</v>
      </c>
      <c r="Q37" s="594">
        <f t="shared" si="3"/>
        <v>41767</v>
      </c>
      <c r="R37" s="560">
        <f t="shared" si="4"/>
        <v>1.94418661808256E-2</v>
      </c>
      <c r="S37" s="654">
        <f t="shared" si="5"/>
        <v>23398</v>
      </c>
      <c r="T37" s="654">
        <f t="shared" si="6"/>
        <v>-1</v>
      </c>
    </row>
    <row r="38" spans="1:20">
      <c r="A38" s="653" t="s">
        <v>321</v>
      </c>
      <c r="B38" s="655">
        <v>1495</v>
      </c>
      <c r="C38" s="655">
        <v>0</v>
      </c>
      <c r="D38" s="656">
        <v>0</v>
      </c>
      <c r="E38" s="655">
        <v>122</v>
      </c>
      <c r="F38" s="655">
        <v>5488</v>
      </c>
      <c r="G38" s="655">
        <v>765</v>
      </c>
      <c r="H38" s="655">
        <v>27332</v>
      </c>
      <c r="I38" s="655">
        <v>0</v>
      </c>
      <c r="J38" s="655">
        <v>71</v>
      </c>
      <c r="K38" s="655">
        <v>375</v>
      </c>
      <c r="L38" s="655">
        <v>68</v>
      </c>
      <c r="M38" s="657">
        <v>35715</v>
      </c>
      <c r="N38" s="654">
        <f t="shared" si="0"/>
        <v>1617</v>
      </c>
      <c r="O38" s="654">
        <f t="shared" si="1"/>
        <v>6253</v>
      </c>
      <c r="P38" s="654">
        <f t="shared" si="2"/>
        <v>27846</v>
      </c>
      <c r="Q38" s="594">
        <f t="shared" si="3"/>
        <v>62775</v>
      </c>
      <c r="R38" s="560">
        <f t="shared" si="4"/>
        <v>2.9220752017174494E-2</v>
      </c>
      <c r="S38" s="654">
        <f t="shared" si="5"/>
        <v>35716</v>
      </c>
      <c r="T38" s="654">
        <f t="shared" si="6"/>
        <v>1</v>
      </c>
    </row>
    <row r="39" spans="1:20">
      <c r="A39" s="653" t="s">
        <v>42</v>
      </c>
      <c r="B39" s="655">
        <v>219</v>
      </c>
      <c r="C39" s="655">
        <v>0</v>
      </c>
      <c r="D39" s="656">
        <v>0</v>
      </c>
      <c r="E39" s="655">
        <v>33</v>
      </c>
      <c r="F39" s="655">
        <v>844</v>
      </c>
      <c r="G39" s="655">
        <v>64</v>
      </c>
      <c r="H39" s="655">
        <v>10030</v>
      </c>
      <c r="I39" s="655">
        <v>37</v>
      </c>
      <c r="J39" s="655">
        <v>146</v>
      </c>
      <c r="K39" s="655">
        <v>571</v>
      </c>
      <c r="L39" s="655">
        <v>67</v>
      </c>
      <c r="M39" s="657">
        <v>12011</v>
      </c>
      <c r="N39" s="654">
        <f t="shared" si="0"/>
        <v>252</v>
      </c>
      <c r="O39" s="654">
        <f t="shared" si="1"/>
        <v>908</v>
      </c>
      <c r="P39" s="654">
        <f t="shared" si="2"/>
        <v>10851</v>
      </c>
      <c r="Q39" s="594">
        <f t="shared" si="3"/>
        <v>16095</v>
      </c>
      <c r="R39" s="560">
        <f t="shared" si="4"/>
        <v>7.4919634204129587E-3</v>
      </c>
      <c r="S39" s="654">
        <f t="shared" si="5"/>
        <v>12011</v>
      </c>
      <c r="T39" s="654">
        <f t="shared" si="6"/>
        <v>0</v>
      </c>
    </row>
    <row r="40" spans="1:20">
      <c r="A40" s="653" t="s">
        <v>83</v>
      </c>
      <c r="B40" s="655">
        <v>1435</v>
      </c>
      <c r="C40" s="655">
        <v>0</v>
      </c>
      <c r="D40" s="656">
        <v>1689</v>
      </c>
      <c r="E40" s="655">
        <v>101</v>
      </c>
      <c r="F40" s="655">
        <v>3557</v>
      </c>
      <c r="G40" s="655">
        <v>226</v>
      </c>
      <c r="H40" s="655">
        <v>11424</v>
      </c>
      <c r="I40" s="655">
        <v>0</v>
      </c>
      <c r="J40" s="655">
        <v>125</v>
      </c>
      <c r="K40" s="655">
        <v>48</v>
      </c>
      <c r="L40" s="655">
        <v>4</v>
      </c>
      <c r="M40" s="657">
        <v>18608</v>
      </c>
      <c r="N40" s="654">
        <f t="shared" si="0"/>
        <v>1536</v>
      </c>
      <c r="O40" s="654">
        <f t="shared" si="1"/>
        <v>5472</v>
      </c>
      <c r="P40" s="654">
        <f t="shared" si="2"/>
        <v>11601</v>
      </c>
      <c r="Q40" s="594">
        <f t="shared" si="3"/>
        <v>43377</v>
      </c>
      <c r="R40" s="560">
        <f t="shared" si="4"/>
        <v>2.0191295264818446E-2</v>
      </c>
      <c r="S40" s="654">
        <f t="shared" si="5"/>
        <v>18609</v>
      </c>
      <c r="T40" s="654">
        <f t="shared" si="6"/>
        <v>1</v>
      </c>
    </row>
    <row r="41" spans="1:20">
      <c r="A41" s="653" t="s">
        <v>23</v>
      </c>
      <c r="B41" s="655">
        <v>1067</v>
      </c>
      <c r="C41" s="655">
        <v>0</v>
      </c>
      <c r="D41" s="656">
        <v>0</v>
      </c>
      <c r="E41" s="655">
        <v>63</v>
      </c>
      <c r="F41" s="655">
        <v>4456</v>
      </c>
      <c r="G41" s="655">
        <v>534</v>
      </c>
      <c r="H41" s="655">
        <v>18239</v>
      </c>
      <c r="I41" s="655">
        <v>0</v>
      </c>
      <c r="J41" s="655">
        <v>73</v>
      </c>
      <c r="K41" s="655">
        <v>273</v>
      </c>
      <c r="L41" s="655">
        <v>222</v>
      </c>
      <c r="M41" s="657">
        <v>24927</v>
      </c>
      <c r="N41" s="654">
        <f t="shared" si="0"/>
        <v>1130</v>
      </c>
      <c r="O41" s="654">
        <f t="shared" si="1"/>
        <v>4990</v>
      </c>
      <c r="P41" s="654">
        <f t="shared" si="2"/>
        <v>18807</v>
      </c>
      <c r="Q41" s="594">
        <f t="shared" si="3"/>
        <v>45077</v>
      </c>
      <c r="R41" s="560">
        <f t="shared" si="4"/>
        <v>2.0982617900090397E-2</v>
      </c>
      <c r="S41" s="654">
        <f t="shared" si="5"/>
        <v>24927</v>
      </c>
      <c r="T41" s="654">
        <f t="shared" si="6"/>
        <v>0</v>
      </c>
    </row>
    <row r="42" spans="1:20">
      <c r="A42" s="653" t="s">
        <v>33</v>
      </c>
      <c r="B42" s="655">
        <v>402</v>
      </c>
      <c r="C42" s="655">
        <v>0</v>
      </c>
      <c r="D42" s="656">
        <v>0</v>
      </c>
      <c r="E42" s="655">
        <v>45</v>
      </c>
      <c r="F42" s="655">
        <v>2351</v>
      </c>
      <c r="G42" s="655">
        <v>555</v>
      </c>
      <c r="H42" s="655">
        <v>16426</v>
      </c>
      <c r="I42" s="655">
        <v>5</v>
      </c>
      <c r="J42" s="655">
        <v>1163</v>
      </c>
      <c r="K42" s="655">
        <v>45</v>
      </c>
      <c r="L42" s="655">
        <v>151</v>
      </c>
      <c r="M42" s="657">
        <v>21143</v>
      </c>
      <c r="N42" s="654">
        <f t="shared" si="0"/>
        <v>447</v>
      </c>
      <c r="O42" s="654">
        <f t="shared" si="1"/>
        <v>2906</v>
      </c>
      <c r="P42" s="654">
        <f t="shared" si="2"/>
        <v>17790</v>
      </c>
      <c r="Q42" s="594">
        <f t="shared" si="3"/>
        <v>30978</v>
      </c>
      <c r="R42" s="560">
        <f t="shared" si="4"/>
        <v>1.4419760350267328E-2</v>
      </c>
      <c r="S42" s="654">
        <f t="shared" si="5"/>
        <v>21143</v>
      </c>
      <c r="T42" s="654">
        <f t="shared" si="6"/>
        <v>0</v>
      </c>
    </row>
    <row r="43" spans="1:20">
      <c r="A43" s="653" t="s">
        <v>322</v>
      </c>
      <c r="B43" s="655">
        <v>855</v>
      </c>
      <c r="C43" s="655">
        <v>0</v>
      </c>
      <c r="D43" s="656">
        <v>0</v>
      </c>
      <c r="E43" s="655">
        <v>165</v>
      </c>
      <c r="F43" s="655">
        <v>4087</v>
      </c>
      <c r="G43" s="655">
        <v>432</v>
      </c>
      <c r="H43" s="655">
        <v>28841</v>
      </c>
      <c r="I43" s="655">
        <v>25</v>
      </c>
      <c r="J43" s="655">
        <v>1570</v>
      </c>
      <c r="K43" s="655">
        <v>421</v>
      </c>
      <c r="L43" s="655">
        <v>141</v>
      </c>
      <c r="M43" s="657">
        <v>36537</v>
      </c>
      <c r="N43" s="654">
        <f t="shared" si="0"/>
        <v>1020</v>
      </c>
      <c r="O43" s="654">
        <f t="shared" si="1"/>
        <v>4519</v>
      </c>
      <c r="P43" s="654">
        <f t="shared" si="2"/>
        <v>30998</v>
      </c>
      <c r="Q43" s="594">
        <f>(10*N43)+(3*O43)+P43</f>
        <v>54755</v>
      </c>
      <c r="R43" s="560">
        <f>SUM(Q43/($Q$45+$Q$57))</f>
        <v>2.5487571114303297E-2</v>
      </c>
      <c r="S43" s="654">
        <f t="shared" si="5"/>
        <v>36537</v>
      </c>
      <c r="T43" s="654">
        <f t="shared" si="6"/>
        <v>0</v>
      </c>
    </row>
    <row r="44" spans="1:20">
      <c r="A44" s="653"/>
      <c r="B44" s="655"/>
      <c r="C44" s="655"/>
      <c r="D44" s="656"/>
      <c r="E44" s="655"/>
      <c r="F44" s="655"/>
      <c r="G44" s="655"/>
      <c r="H44" s="655"/>
      <c r="I44" s="655"/>
      <c r="J44" s="655"/>
      <c r="K44" s="655"/>
      <c r="L44" s="655"/>
      <c r="M44" s="657"/>
    </row>
    <row r="45" spans="1:20">
      <c r="A45" s="629" t="s">
        <v>357</v>
      </c>
      <c r="B45" s="658">
        <f t="shared" ref="B45:T45" si="7">SUM(B5:B43)</f>
        <v>40586</v>
      </c>
      <c r="C45" s="658">
        <f t="shared" si="7"/>
        <v>54</v>
      </c>
      <c r="D45" s="658">
        <f t="shared" si="7"/>
        <v>8044</v>
      </c>
      <c r="E45" s="658">
        <f t="shared" si="7"/>
        <v>4238</v>
      </c>
      <c r="F45" s="658">
        <f t="shared" si="7"/>
        <v>187212</v>
      </c>
      <c r="G45" s="658">
        <f t="shared" si="7"/>
        <v>25686</v>
      </c>
      <c r="H45" s="658">
        <f t="shared" si="7"/>
        <v>728113</v>
      </c>
      <c r="I45" s="658">
        <f t="shared" si="7"/>
        <v>7094</v>
      </c>
      <c r="J45" s="658">
        <f t="shared" si="7"/>
        <v>15217</v>
      </c>
      <c r="K45" s="658">
        <f t="shared" si="7"/>
        <v>15051</v>
      </c>
      <c r="L45" s="658">
        <f t="shared" si="7"/>
        <v>4889</v>
      </c>
      <c r="M45" s="658">
        <f t="shared" si="7"/>
        <v>1036163</v>
      </c>
      <c r="N45" s="658">
        <f t="shared" si="7"/>
        <v>44824</v>
      </c>
      <c r="O45" s="658">
        <f t="shared" si="7"/>
        <v>220996</v>
      </c>
      <c r="P45" s="658">
        <f>SUM(P5:P43)</f>
        <v>770364</v>
      </c>
      <c r="Q45" s="658">
        <f t="shared" si="7"/>
        <v>1881592</v>
      </c>
      <c r="R45" s="659">
        <f>SUM(R5:R43)</f>
        <v>0.87585078820389306</v>
      </c>
      <c r="S45" s="660">
        <f>SUM(S5:S43)</f>
        <v>1036184</v>
      </c>
      <c r="T45" s="660">
        <f t="shared" si="7"/>
        <v>21</v>
      </c>
    </row>
    <row r="46" spans="1:20">
      <c r="A46" s="661" t="s">
        <v>355</v>
      </c>
      <c r="B46" s="660">
        <v>40868</v>
      </c>
      <c r="C46" s="660">
        <v>191</v>
      </c>
      <c r="D46" s="660">
        <v>7975</v>
      </c>
      <c r="E46" s="660">
        <v>4467</v>
      </c>
      <c r="F46" s="660">
        <v>220617</v>
      </c>
      <c r="G46" s="660">
        <v>28569</v>
      </c>
      <c r="H46" s="660">
        <v>774225</v>
      </c>
      <c r="I46" s="660">
        <v>8200</v>
      </c>
      <c r="J46" s="660">
        <v>35706</v>
      </c>
      <c r="K46" s="660">
        <v>14821</v>
      </c>
      <c r="L46" s="660">
        <v>7785</v>
      </c>
      <c r="M46" s="660">
        <v>1143424</v>
      </c>
      <c r="N46" s="662"/>
      <c r="O46" s="662"/>
      <c r="P46" s="662"/>
      <c r="Q46" s="662"/>
      <c r="R46" s="662"/>
      <c r="S46" s="662"/>
      <c r="T46" s="662"/>
    </row>
    <row r="47" spans="1:20">
      <c r="A47" s="661" t="s">
        <v>356</v>
      </c>
      <c r="B47" s="663">
        <f>(B45-B46)/B45</f>
        <v>-6.9482087419307148E-3</v>
      </c>
      <c r="C47" s="663">
        <f t="shared" ref="C47:M47" si="8">(C45-C46)/C45</f>
        <v>-2.5370370370370372</v>
      </c>
      <c r="D47" s="663">
        <f t="shared" si="8"/>
        <v>8.5778219791148684E-3</v>
      </c>
      <c r="E47" s="663">
        <f t="shared" si="8"/>
        <v>-5.4034922133081642E-2</v>
      </c>
      <c r="F47" s="663">
        <f t="shared" si="8"/>
        <v>-0.1784340747387988</v>
      </c>
      <c r="G47" s="663">
        <f t="shared" si="8"/>
        <v>-0.11224013081055828</v>
      </c>
      <c r="H47" s="663">
        <f t="shared" si="8"/>
        <v>-6.3330829143278589E-2</v>
      </c>
      <c r="I47" s="663">
        <f t="shared" si="8"/>
        <v>-0.15590639977445728</v>
      </c>
      <c r="J47" s="663">
        <f t="shared" si="8"/>
        <v>-1.3464546231188801</v>
      </c>
      <c r="K47" s="663">
        <f t="shared" si="8"/>
        <v>1.5281376652714106E-2</v>
      </c>
      <c r="L47" s="663">
        <f t="shared" si="8"/>
        <v>-0.59235017385968503</v>
      </c>
      <c r="M47" s="663">
        <f t="shared" si="8"/>
        <v>-0.1035174967645052</v>
      </c>
      <c r="N47" s="662"/>
      <c r="O47" s="662"/>
      <c r="P47" s="662"/>
      <c r="Q47" s="662"/>
      <c r="R47" s="662"/>
      <c r="S47" s="662"/>
      <c r="T47" s="662"/>
    </row>
    <row r="48" spans="1:20">
      <c r="A48" s="664"/>
      <c r="B48" s="665"/>
      <c r="C48" s="665"/>
      <c r="D48" s="665"/>
      <c r="E48" s="665"/>
      <c r="F48" s="665"/>
      <c r="G48" s="665"/>
      <c r="H48" s="665"/>
      <c r="I48" s="665"/>
      <c r="J48" s="665"/>
      <c r="K48" s="665"/>
      <c r="L48" s="665"/>
      <c r="M48" s="665"/>
      <c r="N48" s="662"/>
      <c r="O48" s="662"/>
      <c r="P48" s="662"/>
      <c r="Q48" s="662"/>
      <c r="R48" s="662"/>
      <c r="S48" s="662"/>
      <c r="T48" s="662"/>
    </row>
    <row r="49" spans="1:20" s="671" customFormat="1">
      <c r="A49" s="666" t="s">
        <v>126</v>
      </c>
      <c r="B49" s="667"/>
      <c r="C49" s="667"/>
      <c r="D49" s="667"/>
      <c r="E49" s="667"/>
      <c r="F49" s="667"/>
      <c r="G49" s="667"/>
      <c r="H49" s="667"/>
      <c r="I49" s="667"/>
      <c r="J49" s="667"/>
      <c r="K49" s="667"/>
      <c r="L49" s="667"/>
      <c r="M49" s="668">
        <v>20185</v>
      </c>
      <c r="N49" s="667">
        <v>725</v>
      </c>
      <c r="O49" s="667">
        <v>3405</v>
      </c>
      <c r="P49" s="667">
        <v>16060</v>
      </c>
      <c r="Q49" s="667">
        <f>(10*N49)+(3*O49)+P49</f>
        <v>33525</v>
      </c>
      <c r="R49" s="669">
        <f>SUM(Q49/($Q$45+$Q$57))</f>
        <v>1.5605347851465948E-2</v>
      </c>
      <c r="S49" s="667">
        <f>SUM(N49:P49)</f>
        <v>20190</v>
      </c>
      <c r="T49" s="670">
        <f>S49-M49</f>
        <v>5</v>
      </c>
    </row>
    <row r="50" spans="1:20" s="671" customFormat="1">
      <c r="A50" s="666" t="s">
        <v>124</v>
      </c>
      <c r="B50" s="667"/>
      <c r="C50" s="667"/>
      <c r="D50" s="667"/>
      <c r="E50" s="667"/>
      <c r="F50" s="667"/>
      <c r="G50" s="667"/>
      <c r="H50" s="667"/>
      <c r="I50" s="667"/>
      <c r="J50" s="667"/>
      <c r="K50" s="667"/>
      <c r="L50" s="667"/>
      <c r="M50" s="668">
        <v>2440</v>
      </c>
      <c r="N50" s="667">
        <v>215</v>
      </c>
      <c r="O50" s="667">
        <v>585</v>
      </c>
      <c r="P50" s="667">
        <v>1640</v>
      </c>
      <c r="Q50" s="667">
        <f>(10*N50)+(3*O50)+P50</f>
        <v>5545</v>
      </c>
      <c r="R50" s="669">
        <f t="shared" ref="R49:R56" si="9">SUM(Q50/($Q$45+$Q$57))</f>
        <v>2.5811082426958594E-3</v>
      </c>
      <c r="S50" s="667">
        <f>SUM(N50:P50)</f>
        <v>2440</v>
      </c>
      <c r="T50" s="670">
        <f t="shared" ref="T50:T56" si="10">S50-M50</f>
        <v>0</v>
      </c>
    </row>
    <row r="51" spans="1:20" s="671" customFormat="1">
      <c r="A51" s="666" t="s">
        <v>121</v>
      </c>
      <c r="B51" s="667"/>
      <c r="C51" s="667"/>
      <c r="D51" s="667"/>
      <c r="E51" s="667"/>
      <c r="F51" s="667"/>
      <c r="G51" s="667"/>
      <c r="H51" s="667"/>
      <c r="I51" s="667"/>
      <c r="J51" s="667"/>
      <c r="K51" s="667"/>
      <c r="L51" s="667"/>
      <c r="M51" s="668">
        <v>18565</v>
      </c>
      <c r="N51" s="667">
        <v>885</v>
      </c>
      <c r="O51" s="667">
        <v>4630</v>
      </c>
      <c r="P51" s="667">
        <v>13055</v>
      </c>
      <c r="Q51" s="667">
        <f t="shared" ref="Q51:Q54" si="11">(10*N51)+(3*O51)+P51</f>
        <v>35795</v>
      </c>
      <c r="R51" s="669">
        <f t="shared" si="9"/>
        <v>1.6661996311505552E-2</v>
      </c>
      <c r="S51" s="667">
        <f t="shared" ref="S51:S56" si="12">SUM(N51:P51)</f>
        <v>18570</v>
      </c>
      <c r="T51" s="670">
        <f t="shared" si="10"/>
        <v>5</v>
      </c>
    </row>
    <row r="52" spans="1:20" s="671" customFormat="1">
      <c r="A52" s="666" t="s">
        <v>112</v>
      </c>
      <c r="B52" s="667"/>
      <c r="C52" s="667"/>
      <c r="D52" s="667"/>
      <c r="E52" s="667"/>
      <c r="F52" s="667"/>
      <c r="G52" s="667"/>
      <c r="H52" s="667"/>
      <c r="I52" s="667"/>
      <c r="J52" s="667"/>
      <c r="K52" s="667"/>
      <c r="L52" s="667"/>
      <c r="M52" s="668">
        <v>34240</v>
      </c>
      <c r="N52" s="667">
        <v>2245</v>
      </c>
      <c r="O52" s="667">
        <v>9550</v>
      </c>
      <c r="P52" s="667">
        <v>22440</v>
      </c>
      <c r="Q52" s="667">
        <f t="shared" si="11"/>
        <v>73540</v>
      </c>
      <c r="R52" s="669">
        <f t="shared" si="9"/>
        <v>3.4231686234058339E-2</v>
      </c>
      <c r="S52" s="667">
        <f t="shared" si="12"/>
        <v>34235</v>
      </c>
      <c r="T52" s="670">
        <f t="shared" si="10"/>
        <v>-5</v>
      </c>
    </row>
    <row r="53" spans="1:20" s="671" customFormat="1">
      <c r="A53" s="666" t="s">
        <v>123</v>
      </c>
      <c r="B53" s="667"/>
      <c r="C53" s="667"/>
      <c r="D53" s="667"/>
      <c r="E53" s="667"/>
      <c r="F53" s="667"/>
      <c r="G53" s="667"/>
      <c r="H53" s="667"/>
      <c r="I53" s="667"/>
      <c r="J53" s="667"/>
      <c r="K53" s="667"/>
      <c r="L53" s="667"/>
      <c r="M53" s="668">
        <v>15385</v>
      </c>
      <c r="N53" s="667">
        <v>835</v>
      </c>
      <c r="O53" s="667">
        <v>5015</v>
      </c>
      <c r="P53" s="667">
        <v>9535</v>
      </c>
      <c r="Q53" s="667">
        <f t="shared" si="11"/>
        <v>32930</v>
      </c>
      <c r="R53" s="669">
        <f t="shared" si="9"/>
        <v>1.5328384929120767E-2</v>
      </c>
      <c r="S53" s="667">
        <f t="shared" si="12"/>
        <v>15385</v>
      </c>
      <c r="T53" s="670">
        <f t="shared" si="10"/>
        <v>0</v>
      </c>
    </row>
    <row r="54" spans="1:20" s="671" customFormat="1">
      <c r="A54" s="666" t="s">
        <v>125</v>
      </c>
      <c r="B54" s="667"/>
      <c r="C54" s="667"/>
      <c r="D54" s="667"/>
      <c r="E54" s="667"/>
      <c r="F54" s="667"/>
      <c r="G54" s="667"/>
      <c r="H54" s="667"/>
      <c r="I54" s="667"/>
      <c r="J54" s="667"/>
      <c r="K54" s="667"/>
      <c r="L54" s="667"/>
      <c r="M54" s="668">
        <v>18690</v>
      </c>
      <c r="N54" s="667">
        <v>1255</v>
      </c>
      <c r="O54" s="667">
        <v>2200</v>
      </c>
      <c r="P54" s="667">
        <v>15235</v>
      </c>
      <c r="Q54" s="667">
        <f t="shared" si="11"/>
        <v>34385</v>
      </c>
      <c r="R54" s="669">
        <f t="shared" si="9"/>
        <v>1.6005664008132935E-2</v>
      </c>
      <c r="S54" s="667">
        <f t="shared" si="12"/>
        <v>18690</v>
      </c>
      <c r="T54" s="670">
        <f t="shared" si="10"/>
        <v>0</v>
      </c>
    </row>
    <row r="55" spans="1:20" s="671" customFormat="1">
      <c r="A55" s="666" t="s">
        <v>120</v>
      </c>
      <c r="B55" s="667"/>
      <c r="C55" s="667"/>
      <c r="D55" s="667"/>
      <c r="E55" s="667"/>
      <c r="F55" s="667"/>
      <c r="G55" s="667"/>
      <c r="H55" s="667"/>
      <c r="I55" s="667"/>
      <c r="J55" s="667"/>
      <c r="K55" s="667"/>
      <c r="L55" s="667"/>
      <c r="M55" s="668">
        <v>10515</v>
      </c>
      <c r="N55" s="667">
        <v>525</v>
      </c>
      <c r="O55" s="667">
        <v>2355</v>
      </c>
      <c r="P55" s="667">
        <v>7635</v>
      </c>
      <c r="Q55" s="667">
        <f>(10*N55)+(3*O55)+P55</f>
        <v>19950</v>
      </c>
      <c r="R55" s="669">
        <f t="shared" si="9"/>
        <v>9.2864038668678799E-3</v>
      </c>
      <c r="S55" s="667">
        <f t="shared" si="12"/>
        <v>10515</v>
      </c>
      <c r="T55" s="670">
        <f t="shared" si="10"/>
        <v>0</v>
      </c>
    </row>
    <row r="56" spans="1:20" s="671" customFormat="1">
      <c r="A56" s="666" t="s">
        <v>122</v>
      </c>
      <c r="B56" s="667"/>
      <c r="C56" s="667"/>
      <c r="D56" s="667"/>
      <c r="E56" s="667"/>
      <c r="F56" s="667"/>
      <c r="G56" s="667"/>
      <c r="H56" s="667"/>
      <c r="I56" s="667"/>
      <c r="J56" s="667"/>
      <c r="K56" s="667"/>
      <c r="L56" s="667"/>
      <c r="M56" s="668">
        <v>17845</v>
      </c>
      <c r="N56" s="667">
        <v>790</v>
      </c>
      <c r="O56" s="667">
        <v>3040</v>
      </c>
      <c r="P56" s="667">
        <v>14020</v>
      </c>
      <c r="Q56" s="667">
        <f t="shared" ref="Q56" si="13">(10*N56)+(3*O56)+P56</f>
        <v>31040</v>
      </c>
      <c r="R56" s="669">
        <f t="shared" si="9"/>
        <v>1.4448620352259599E-2</v>
      </c>
      <c r="S56" s="667">
        <f t="shared" si="12"/>
        <v>17850</v>
      </c>
      <c r="T56" s="670">
        <f t="shared" si="10"/>
        <v>5</v>
      </c>
    </row>
    <row r="57" spans="1:20" s="671" customFormat="1">
      <c r="A57" s="672" t="s">
        <v>332</v>
      </c>
      <c r="B57" s="673"/>
      <c r="C57" s="673"/>
      <c r="D57" s="673"/>
      <c r="E57" s="673"/>
      <c r="F57" s="673"/>
      <c r="G57" s="673"/>
      <c r="H57" s="673"/>
      <c r="I57" s="673"/>
      <c r="J57" s="673"/>
      <c r="K57" s="673"/>
      <c r="L57" s="673"/>
      <c r="M57" s="673">
        <f>SUM(M49:M56)</f>
        <v>137865</v>
      </c>
      <c r="N57" s="673">
        <f>SUM(N49:N56)</f>
        <v>7475</v>
      </c>
      <c r="O57" s="673">
        <f>SUM(O49:O56)</f>
        <v>30780</v>
      </c>
      <c r="P57" s="673">
        <f>SUM(P49:P56)</f>
        <v>99620</v>
      </c>
      <c r="Q57" s="673">
        <f>SUM(Q49:Q56)</f>
        <v>266710</v>
      </c>
      <c r="R57" s="674">
        <f>SUM(R49:R56)</f>
        <v>0.12414921179610688</v>
      </c>
      <c r="S57" s="667">
        <f>SUM(S49:S56)</f>
        <v>137875</v>
      </c>
      <c r="T57" s="667">
        <f>SUM(T49:T56)</f>
        <v>10</v>
      </c>
    </row>
    <row r="58" spans="1:20">
      <c r="A58" s="675"/>
      <c r="B58" s="676"/>
      <c r="C58" s="676"/>
      <c r="D58" s="676"/>
      <c r="E58" s="676"/>
      <c r="F58" s="676"/>
      <c r="G58" s="676"/>
      <c r="H58" s="676"/>
      <c r="I58" s="676"/>
      <c r="J58" s="676"/>
      <c r="K58" s="676"/>
      <c r="L58" s="676"/>
      <c r="M58" s="676"/>
      <c r="N58" s="676"/>
      <c r="O58" s="676"/>
      <c r="P58" s="676"/>
      <c r="Q58" s="676"/>
      <c r="R58" s="676"/>
      <c r="S58" s="676"/>
      <c r="T58" s="676"/>
    </row>
    <row r="59" spans="1:20" s="671" customFormat="1">
      <c r="A59" s="677" t="s">
        <v>132</v>
      </c>
      <c r="B59" s="678"/>
      <c r="C59" s="678"/>
      <c r="D59" s="679"/>
      <c r="E59" s="678"/>
      <c r="F59" s="678"/>
      <c r="G59" s="678"/>
      <c r="H59" s="678"/>
      <c r="I59" s="678"/>
      <c r="J59" s="678"/>
      <c r="K59" s="678"/>
      <c r="L59" s="678"/>
      <c r="M59" s="678">
        <f>SUM(M45,M57)</f>
        <v>1174028</v>
      </c>
      <c r="N59" s="678">
        <f t="shared" ref="N59:T59" si="14">SUM(N45,N57)</f>
        <v>52299</v>
      </c>
      <c r="O59" s="678">
        <f t="shared" si="14"/>
        <v>251776</v>
      </c>
      <c r="P59" s="678">
        <f t="shared" si="14"/>
        <v>869984</v>
      </c>
      <c r="Q59" s="678">
        <f t="shared" si="14"/>
        <v>2148302</v>
      </c>
      <c r="R59" s="680">
        <f t="shared" si="14"/>
        <v>1</v>
      </c>
      <c r="S59" s="667">
        <f t="shared" si="14"/>
        <v>1174059</v>
      </c>
      <c r="T59" s="667">
        <f t="shared" si="14"/>
        <v>31</v>
      </c>
    </row>
    <row r="60" spans="1:20">
      <c r="A60" s="681"/>
      <c r="B60" s="662"/>
      <c r="C60" s="662"/>
      <c r="D60" s="682"/>
      <c r="E60" s="662"/>
      <c r="F60" s="662"/>
      <c r="G60" s="662"/>
      <c r="H60" s="662"/>
      <c r="I60" s="662"/>
      <c r="J60" s="662"/>
      <c r="K60" s="662"/>
      <c r="L60" s="662"/>
      <c r="M60" s="662"/>
      <c r="N60" s="662"/>
      <c r="O60" s="662"/>
      <c r="P60" s="662"/>
      <c r="Q60" s="662"/>
      <c r="R60" s="662"/>
      <c r="S60" s="662"/>
      <c r="T60" s="662"/>
    </row>
    <row r="61" spans="1:20">
      <c r="A61" s="661" t="s">
        <v>327</v>
      </c>
      <c r="B61" s="662"/>
      <c r="C61" s="662"/>
      <c r="D61" s="682"/>
      <c r="E61" s="662"/>
      <c r="F61" s="662"/>
      <c r="G61" s="662"/>
      <c r="H61" s="662"/>
      <c r="I61" s="662"/>
      <c r="J61" s="662"/>
      <c r="K61" s="662"/>
      <c r="L61" s="662"/>
      <c r="M61" s="662"/>
      <c r="N61" s="662"/>
      <c r="O61" s="662"/>
      <c r="P61" s="662"/>
      <c r="Q61" s="662"/>
      <c r="R61" s="662"/>
      <c r="S61" s="662"/>
      <c r="T61" s="662"/>
    </row>
    <row r="62" spans="1:20">
      <c r="A62" s="661" t="s">
        <v>328</v>
      </c>
      <c r="B62" s="662"/>
      <c r="C62" s="662"/>
      <c r="D62" s="682"/>
      <c r="E62" s="662"/>
      <c r="F62" s="662"/>
      <c r="G62" s="662"/>
      <c r="H62" s="662"/>
      <c r="I62" s="662"/>
      <c r="J62" s="662"/>
      <c r="K62" s="662"/>
      <c r="L62" s="662"/>
      <c r="M62" s="662"/>
      <c r="N62" s="662"/>
      <c r="O62" s="662"/>
      <c r="P62" s="662"/>
      <c r="Q62" s="662"/>
      <c r="R62" s="662"/>
      <c r="S62" s="662"/>
      <c r="T62" s="662"/>
    </row>
    <row r="63" spans="1:20">
      <c r="A63" s="661" t="s">
        <v>313</v>
      </c>
      <c r="B63" s="662"/>
      <c r="C63" s="662"/>
      <c r="D63" s="682"/>
      <c r="E63" s="662"/>
      <c r="F63" s="662"/>
      <c r="G63" s="662"/>
      <c r="H63" s="662"/>
      <c r="I63" s="662"/>
      <c r="J63" s="662"/>
      <c r="K63" s="662"/>
      <c r="L63" s="662"/>
      <c r="M63" s="662"/>
      <c r="N63" s="662"/>
      <c r="O63" s="662"/>
      <c r="P63" s="662"/>
      <c r="Q63" s="662"/>
      <c r="R63" s="662"/>
      <c r="S63" s="662"/>
      <c r="T63" s="662"/>
    </row>
    <row r="64" spans="1:20">
      <c r="A64" s="664"/>
      <c r="B64" s="662"/>
      <c r="C64" s="662"/>
      <c r="D64" s="682"/>
      <c r="E64" s="662"/>
      <c r="F64" s="662"/>
      <c r="G64" s="662"/>
      <c r="H64" s="662"/>
      <c r="I64" s="662"/>
      <c r="J64" s="662"/>
      <c r="K64" s="662"/>
      <c r="L64" s="662"/>
      <c r="M64" s="662"/>
      <c r="N64" s="662"/>
      <c r="O64" s="662"/>
      <c r="P64" s="662"/>
      <c r="Q64" s="662"/>
      <c r="R64" s="662"/>
      <c r="S64" s="662"/>
      <c r="T64" s="662"/>
    </row>
  </sheetData>
  <autoFilter ref="A4:M4" xr:uid="{F5328FAF-5B0D-46F0-AF03-3A85886D60F9}"/>
  <hyperlinks>
    <hyperlink ref="A1" location="Index!A1" display="&lt; Back to Contents &gt;" xr:uid="{10030B20-225D-4716-94FC-D9263A0DBC36}"/>
    <hyperlink ref="S1" location="'Ave weight 2019-2020'!A1" display="Ave weight 2019-2020" xr:uid="{6AE1008F-8E81-4C62-822B-A7125E68E181}"/>
  </hyperlinks>
  <pageMargins left="0.7" right="0.7" top="0.75" bottom="0.75" header="0.3" footer="0.3"/>
  <ignoredErrors>
    <ignoredError sqref="P5:P43 S49:S5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0DBA-18CF-FB4C-AC9F-9C12C8BB0CB4}">
  <dimension ref="A1:L49"/>
  <sheetViews>
    <sheetView workbookViewId="0">
      <selection activeCell="A2" sqref="A2"/>
    </sheetView>
  </sheetViews>
  <sheetFormatPr defaultColWidth="9.140625" defaultRowHeight="12.75"/>
  <cols>
    <col min="1" max="1" width="30.85546875" style="710" bestFit="1" customWidth="1"/>
    <col min="2" max="4" width="10.140625" style="683" customWidth="1"/>
    <col min="5" max="5" width="8" style="684" customWidth="1"/>
    <col min="6" max="6" width="8.42578125" style="684" customWidth="1"/>
    <col min="7" max="16384" width="9.140625" style="685"/>
  </cols>
  <sheetData>
    <row r="1" spans="1:12">
      <c r="A1" s="187" t="s">
        <v>286</v>
      </c>
    </row>
    <row r="2" spans="1:12" s="687" customFormat="1" ht="38.25">
      <c r="A2" s="686"/>
      <c r="B2" s="687" t="s">
        <v>339</v>
      </c>
      <c r="C2" s="687" t="s">
        <v>349</v>
      </c>
      <c r="D2" s="687" t="s">
        <v>350</v>
      </c>
      <c r="E2" s="688" t="s">
        <v>337</v>
      </c>
      <c r="F2" s="688" t="s">
        <v>338</v>
      </c>
      <c r="H2" s="689"/>
      <c r="I2" s="689"/>
      <c r="J2" s="689"/>
      <c r="K2" s="689"/>
      <c r="L2" s="689"/>
    </row>
    <row r="3" spans="1:12">
      <c r="A3" s="690" t="s">
        <v>28</v>
      </c>
      <c r="B3" s="691">
        <f>'Table 4.1 2018'!R20</f>
        <v>6.1663539771192211E-2</v>
      </c>
      <c r="C3" s="691">
        <f>'Table 4.1 2019'!R20</f>
        <v>6.3508807832733077E-2</v>
      </c>
      <c r="D3" s="691">
        <f t="shared" ref="D3:D49" si="0">(B3+C3)/2</f>
        <v>6.2586173801962644E-2</v>
      </c>
      <c r="E3" s="717">
        <v>7</v>
      </c>
      <c r="F3" s="713">
        <v>5</v>
      </c>
    </row>
    <row r="4" spans="1:12">
      <c r="A4" s="690" t="s">
        <v>76</v>
      </c>
      <c r="B4" s="691">
        <f>'Table 4.1 2018'!R28</f>
        <v>6.0571087528911625E-2</v>
      </c>
      <c r="C4" s="691">
        <f>'Table 4.1 2019'!R28</f>
        <v>6.0560704094354004E-2</v>
      </c>
      <c r="D4" s="691">
        <f t="shared" si="0"/>
        <v>6.0565895811632811E-2</v>
      </c>
      <c r="E4" s="717"/>
      <c r="F4" s="713"/>
    </row>
    <row r="5" spans="1:12">
      <c r="A5" s="690" t="s">
        <v>82</v>
      </c>
      <c r="B5" s="691">
        <f>'Table 4.1 2018'!R36</f>
        <v>5.4409863982400268E-2</v>
      </c>
      <c r="C5" s="691">
        <f>'Table 4.1 2019'!R36</f>
        <v>5.4754889837278442E-2</v>
      </c>
      <c r="D5" s="691">
        <f t="shared" si="0"/>
        <v>5.4582376909839359E-2</v>
      </c>
      <c r="E5" s="717"/>
      <c r="F5" s="713"/>
    </row>
    <row r="6" spans="1:12">
      <c r="A6" s="690" t="s">
        <v>78</v>
      </c>
      <c r="B6" s="691">
        <f>'Table 4.1 2018'!R30</f>
        <v>4.6428043592656988E-2</v>
      </c>
      <c r="C6" s="691">
        <f>'Table 4.1 2019'!R30</f>
        <v>4.2657799260060372E-2</v>
      </c>
      <c r="D6" s="691">
        <f t="shared" si="0"/>
        <v>4.4542921426358684E-2</v>
      </c>
      <c r="E6" s="717"/>
      <c r="F6" s="713"/>
    </row>
    <row r="7" spans="1:12">
      <c r="A7" s="690" t="s">
        <v>81</v>
      </c>
      <c r="B7" s="691">
        <f>'Table 4.1 2018'!R33</f>
        <v>4.3340371593794155E-2</v>
      </c>
      <c r="C7" s="691">
        <f>'Table 4.1 2019'!R33</f>
        <v>4.4181177378569102E-2</v>
      </c>
      <c r="D7" s="691">
        <f t="shared" si="0"/>
        <v>4.3760774486181625E-2</v>
      </c>
      <c r="E7" s="717"/>
      <c r="F7" s="713"/>
    </row>
    <row r="8" spans="1:12">
      <c r="A8" s="692" t="s">
        <v>29</v>
      </c>
      <c r="B8" s="693">
        <f>'Table 4.1 2018'!R23</f>
        <v>3.9304275955036716E-2</v>
      </c>
      <c r="C8" s="693">
        <f>'Table 4.1 2019'!R23</f>
        <v>4.0297022025202731E-2</v>
      </c>
      <c r="D8" s="693">
        <f t="shared" si="0"/>
        <v>3.9800648990119723E-2</v>
      </c>
      <c r="E8" s="718">
        <v>6</v>
      </c>
      <c r="F8" s="713">
        <v>4</v>
      </c>
    </row>
    <row r="9" spans="1:12">
      <c r="A9" s="692" t="s">
        <v>63</v>
      </c>
      <c r="B9" s="693">
        <f>'Table 4.1 2018'!R12</f>
        <v>3.3185413762168298E-2</v>
      </c>
      <c r="C9" s="693">
        <f>'Table 4.1 2019'!R12</f>
        <v>3.4775694043270362E-2</v>
      </c>
      <c r="D9" s="693">
        <f t="shared" si="0"/>
        <v>3.3980553902719327E-2</v>
      </c>
      <c r="E9" s="718"/>
      <c r="F9" s="713"/>
    </row>
    <row r="10" spans="1:12">
      <c r="A10" s="692" t="s">
        <v>112</v>
      </c>
      <c r="B10" s="693">
        <f>'Table 4.1 2018'!R52</f>
        <v>3.4060881737455626E-2</v>
      </c>
      <c r="C10" s="693">
        <f>'Table 4.1 2019'!R52</f>
        <v>3.3596911396749606E-2</v>
      </c>
      <c r="D10" s="693">
        <f t="shared" si="0"/>
        <v>3.3828896567102612E-2</v>
      </c>
      <c r="E10" s="718"/>
      <c r="F10" s="713"/>
    </row>
    <row r="11" spans="1:12">
      <c r="A11" s="694" t="s">
        <v>321</v>
      </c>
      <c r="B11" s="695">
        <f>'Table 4.1 2018'!R38</f>
        <v>2.9402544881854186E-2</v>
      </c>
      <c r="C11" s="695">
        <f>'Table 4.1 2019'!R38</f>
        <v>2.8970797483856552E-2</v>
      </c>
      <c r="D11" s="695">
        <f t="shared" si="0"/>
        <v>2.9186671182855367E-2</v>
      </c>
      <c r="E11" s="719">
        <v>5</v>
      </c>
      <c r="F11" s="713">
        <v>3</v>
      </c>
    </row>
    <row r="12" spans="1:12">
      <c r="A12" s="694" t="s">
        <v>39</v>
      </c>
      <c r="B12" s="695">
        <f>'Table 4.1 2018'!R22</f>
        <v>2.8867379780831769E-2</v>
      </c>
      <c r="C12" s="695">
        <f>'Table 4.1 2019'!R22</f>
        <v>2.9063026098862653E-2</v>
      </c>
      <c r="D12" s="695">
        <f t="shared" si="0"/>
        <v>2.8965202939847209E-2</v>
      </c>
      <c r="E12" s="719"/>
      <c r="F12" s="713"/>
    </row>
    <row r="13" spans="1:12">
      <c r="A13" s="694" t="s">
        <v>37</v>
      </c>
      <c r="B13" s="695">
        <f>'Table 4.1 2018'!R16</f>
        <v>2.7593715081300853E-2</v>
      </c>
      <c r="C13" s="695">
        <f>'Table 4.1 2019'!R16</f>
        <v>2.7943434951524914E-2</v>
      </c>
      <c r="D13" s="695">
        <f t="shared" si="0"/>
        <v>2.7768575016412882E-2</v>
      </c>
      <c r="E13" s="719"/>
      <c r="F13" s="713"/>
    </row>
    <row r="14" spans="1:12">
      <c r="A14" s="694" t="s">
        <v>15</v>
      </c>
      <c r="B14" s="695">
        <f>'Table 4.1 2018'!R19</f>
        <v>2.6963472275435402E-2</v>
      </c>
      <c r="C14" s="695">
        <f>'Table 4.1 2019'!R19</f>
        <v>2.6241105788974504E-2</v>
      </c>
      <c r="D14" s="695">
        <f t="shared" si="0"/>
        <v>2.6602289032204955E-2</v>
      </c>
      <c r="E14" s="719"/>
      <c r="F14" s="713"/>
    </row>
    <row r="15" spans="1:12">
      <c r="A15" s="696" t="s">
        <v>322</v>
      </c>
      <c r="B15" s="697">
        <f>'Table 4.1 2018'!R43</f>
        <v>2.5017674098103248E-2</v>
      </c>
      <c r="C15" s="695">
        <f>'Table 4.1 2019'!R43</f>
        <v>2.5582657716667272E-2</v>
      </c>
      <c r="D15" s="695">
        <f t="shared" si="0"/>
        <v>2.530016590738526E-2</v>
      </c>
      <c r="E15" s="719"/>
      <c r="F15" s="713"/>
    </row>
    <row r="16" spans="1:12">
      <c r="A16" s="694" t="s">
        <v>336</v>
      </c>
      <c r="B16" s="695">
        <f>'Table 4.1 2018'!R11</f>
        <v>2.5277490400446582E-2</v>
      </c>
      <c r="C16" s="695">
        <f>'Table 4.1 2019'!R11</f>
        <v>2.4841616854802333E-2</v>
      </c>
      <c r="D16" s="695">
        <f t="shared" si="0"/>
        <v>2.5059553627624458E-2</v>
      </c>
      <c r="E16" s="719"/>
      <c r="F16" s="713"/>
    </row>
    <row r="17" spans="1:6">
      <c r="A17" s="698" t="s">
        <v>84</v>
      </c>
      <c r="B17" s="699">
        <f>'Table 4.1 2018'!R6</f>
        <v>2.4282939953251894E-2</v>
      </c>
      <c r="C17" s="700">
        <f>'Table 4.1 2019'!R6</f>
        <v>2.3346687363807933E-2</v>
      </c>
      <c r="D17" s="700">
        <f t="shared" si="0"/>
        <v>2.3814813658529915E-2</v>
      </c>
      <c r="E17" s="712">
        <v>4</v>
      </c>
      <c r="F17" s="713">
        <v>2</v>
      </c>
    </row>
    <row r="18" spans="1:6">
      <c r="A18" s="698" t="s">
        <v>26</v>
      </c>
      <c r="B18" s="699">
        <f>'Table 4.1 2018'!R18</f>
        <v>2.2243005434490992E-2</v>
      </c>
      <c r="C18" s="700">
        <f>'Table 4.1 2019'!R18</f>
        <v>2.1613156480757945E-2</v>
      </c>
      <c r="D18" s="700">
        <f t="shared" si="0"/>
        <v>2.1928080957624468E-2</v>
      </c>
      <c r="E18" s="712"/>
      <c r="F18" s="713"/>
    </row>
    <row r="19" spans="1:6">
      <c r="A19" s="698" t="s">
        <v>23</v>
      </c>
      <c r="B19" s="699">
        <f>'Table 4.1 2018'!R41</f>
        <v>2.1845279391954544E-2</v>
      </c>
      <c r="C19" s="700">
        <f>'Table 4.1 2019'!R41</f>
        <v>2.1544329156126526E-2</v>
      </c>
      <c r="D19" s="700">
        <f t="shared" si="0"/>
        <v>2.1694804274040535E-2</v>
      </c>
      <c r="E19" s="712"/>
      <c r="F19" s="713"/>
    </row>
    <row r="20" spans="1:6">
      <c r="A20" s="698" t="s">
        <v>75</v>
      </c>
      <c r="B20" s="699">
        <f>'Table 4.1 2018'!R26</f>
        <v>2.0022799821894043E-2</v>
      </c>
      <c r="C20" s="700">
        <f>'Table 4.1 2019'!R26</f>
        <v>2.0626172645543409E-2</v>
      </c>
      <c r="D20" s="700">
        <f t="shared" si="0"/>
        <v>2.0324486233718728E-2</v>
      </c>
      <c r="E20" s="712"/>
      <c r="F20" s="713"/>
    </row>
    <row r="21" spans="1:6">
      <c r="A21" s="698" t="s">
        <v>83</v>
      </c>
      <c r="B21" s="699">
        <f>'Table 4.1 2018'!R40</f>
        <v>2.0564083785109325E-2</v>
      </c>
      <c r="C21" s="700">
        <f>'Table 4.1 2019'!R40</f>
        <v>2.0053988153440883E-2</v>
      </c>
      <c r="D21" s="700">
        <f t="shared" si="0"/>
        <v>2.0309035969275104E-2</v>
      </c>
      <c r="E21" s="712"/>
      <c r="F21" s="713"/>
    </row>
    <row r="22" spans="1:6">
      <c r="A22" s="698" t="s">
        <v>30</v>
      </c>
      <c r="B22" s="699">
        <f>'Table 4.1 2018'!R25</f>
        <v>1.9885831445115219E-2</v>
      </c>
      <c r="C22" s="700">
        <f>'Table 4.1 2019'!R25</f>
        <v>2.0116850443270912E-2</v>
      </c>
      <c r="D22" s="700">
        <f t="shared" si="0"/>
        <v>2.0001340944193063E-2</v>
      </c>
      <c r="E22" s="712"/>
      <c r="F22" s="713"/>
    </row>
    <row r="23" spans="1:6">
      <c r="A23" s="701" t="s">
        <v>79</v>
      </c>
      <c r="B23" s="702">
        <f>'Table 4.1 2018'!R31</f>
        <v>2.0206365687680094E-2</v>
      </c>
      <c r="C23" s="703">
        <f>'Table 4.1 2019'!R31</f>
        <v>1.9621752554755578E-2</v>
      </c>
      <c r="D23" s="703">
        <f t="shared" si="0"/>
        <v>1.9914059121217836E-2</v>
      </c>
      <c r="E23" s="715">
        <v>3</v>
      </c>
      <c r="F23" s="713"/>
    </row>
    <row r="24" spans="1:6">
      <c r="A24" s="701" t="s">
        <v>14</v>
      </c>
      <c r="B24" s="702">
        <f>'Table 4.1 2018'!R9</f>
        <v>1.9575181518400361E-2</v>
      </c>
      <c r="C24" s="703">
        <f>'Table 4.1 2019'!R9</f>
        <v>1.8455358826668478E-2</v>
      </c>
      <c r="D24" s="703">
        <f t="shared" si="0"/>
        <v>1.9015270172534418E-2</v>
      </c>
      <c r="E24" s="715"/>
      <c r="F24" s="713"/>
    </row>
    <row r="25" spans="1:6">
      <c r="A25" s="701" t="s">
        <v>54</v>
      </c>
      <c r="B25" s="702">
        <f>'Table 4.1 2018'!R37</f>
        <v>1.778470830442563E-2</v>
      </c>
      <c r="C25" s="703">
        <f>'Table 4.1 2019'!R37</f>
        <v>1.8236487934340569E-2</v>
      </c>
      <c r="D25" s="703">
        <f t="shared" si="0"/>
        <v>1.80105981193831E-2</v>
      </c>
      <c r="E25" s="715"/>
      <c r="F25" s="713"/>
    </row>
    <row r="26" spans="1:6">
      <c r="A26" s="701" t="s">
        <v>121</v>
      </c>
      <c r="B26" s="702">
        <f>'Table 4.1 2018'!R51</f>
        <v>1.7208123213174571E-2</v>
      </c>
      <c r="C26" s="703">
        <f>'Table 4.1 2019'!R51</f>
        <v>1.6559854306319219E-2</v>
      </c>
      <c r="D26" s="703">
        <f t="shared" si="0"/>
        <v>1.6883988759746893E-2</v>
      </c>
      <c r="E26" s="715"/>
      <c r="F26" s="713"/>
    </row>
    <row r="27" spans="1:6">
      <c r="A27" s="701" t="s">
        <v>52</v>
      </c>
      <c r="B27" s="702">
        <f>'Table 4.1 2018'!R34</f>
        <v>1.6490333609780389E-2</v>
      </c>
      <c r="C27" s="703">
        <f>'Table 4.1 2019'!R34</f>
        <v>1.7229773599398358E-2</v>
      </c>
      <c r="D27" s="703">
        <f t="shared" si="0"/>
        <v>1.6860053604589371E-2</v>
      </c>
      <c r="E27" s="715"/>
      <c r="F27" s="713"/>
    </row>
    <row r="28" spans="1:6">
      <c r="A28" s="701" t="s">
        <v>125</v>
      </c>
      <c r="B28" s="702">
        <f>'Table 4.1 2018'!R54</f>
        <v>1.6177330274529812E-2</v>
      </c>
      <c r="C28" s="703">
        <f>'Table 4.1 2019'!R54</f>
        <v>1.603217815081168E-2</v>
      </c>
      <c r="D28" s="703">
        <f t="shared" si="0"/>
        <v>1.6104754212670748E-2</v>
      </c>
      <c r="E28" s="715"/>
      <c r="F28" s="713"/>
    </row>
    <row r="29" spans="1:6">
      <c r="A29" s="701" t="s">
        <v>126</v>
      </c>
      <c r="B29" s="702">
        <f>'Table 4.1 2018'!R49</f>
        <v>1.5054754402992029E-2</v>
      </c>
      <c r="C29" s="703">
        <f>'Table 4.1 2019'!R49</f>
        <v>1.5554975366700514E-2</v>
      </c>
      <c r="D29" s="703">
        <f t="shared" si="0"/>
        <v>1.5304864884846271E-2</v>
      </c>
      <c r="E29" s="715"/>
      <c r="F29" s="713"/>
    </row>
    <row r="30" spans="1:6">
      <c r="A30" s="701" t="s">
        <v>62</v>
      </c>
      <c r="B30" s="702">
        <f>'Table 4.1 2018'!R5</f>
        <v>1.5674642211300313E-2</v>
      </c>
      <c r="C30" s="703">
        <f>'Table 4.1 2019'!R5</f>
        <v>1.4867619818048084E-2</v>
      </c>
      <c r="D30" s="703">
        <f t="shared" si="0"/>
        <v>1.52711310146742E-2</v>
      </c>
      <c r="E30" s="715"/>
      <c r="F30" s="713"/>
    </row>
    <row r="31" spans="1:6">
      <c r="A31" s="701" t="s">
        <v>123</v>
      </c>
      <c r="B31" s="702">
        <f>'Table 4.1 2018'!R53</f>
        <v>1.5005332823741939E-2</v>
      </c>
      <c r="C31" s="703">
        <f>'Table 4.1 2019'!R53</f>
        <v>1.4958471886561556E-2</v>
      </c>
      <c r="D31" s="703">
        <f t="shared" si="0"/>
        <v>1.4981902355151747E-2</v>
      </c>
      <c r="E31" s="715"/>
      <c r="F31" s="713"/>
    </row>
    <row r="32" spans="1:6">
      <c r="A32" s="704" t="s">
        <v>122</v>
      </c>
      <c r="B32" s="705">
        <f>'Table 4.1 2018'!R56</f>
        <v>1.5094762348099247E-2</v>
      </c>
      <c r="C32" s="706">
        <f>'Table 4.1 2019'!R56</f>
        <v>1.4648748925720175E-2</v>
      </c>
      <c r="D32" s="706">
        <f t="shared" si="0"/>
        <v>1.4871755636909711E-2</v>
      </c>
      <c r="E32" s="716">
        <v>2</v>
      </c>
      <c r="F32" s="713">
        <v>1</v>
      </c>
    </row>
    <row r="33" spans="1:6">
      <c r="A33" s="704" t="s">
        <v>324</v>
      </c>
      <c r="B33" s="705">
        <f>'Table 4.1 2018'!R15</f>
        <v>1.5124415295649301E-2</v>
      </c>
      <c r="C33" s="706">
        <f>'Table 4.1 2019'!R15</f>
        <v>1.4411982928988097E-2</v>
      </c>
      <c r="D33" s="706">
        <f t="shared" si="0"/>
        <v>1.4768199112318699E-2</v>
      </c>
      <c r="E33" s="716"/>
      <c r="F33" s="713"/>
    </row>
    <row r="34" spans="1:6">
      <c r="A34" s="704" t="s">
        <v>45</v>
      </c>
      <c r="B34" s="705">
        <f>'Table 4.1 2018'!R13</f>
        <v>1.4665500631184169E-2</v>
      </c>
      <c r="C34" s="706">
        <f>'Table 4.1 2019'!R13</f>
        <v>1.4758413796299568E-2</v>
      </c>
      <c r="D34" s="706">
        <f t="shared" si="0"/>
        <v>1.4711957213741869E-2</v>
      </c>
      <c r="E34" s="716"/>
      <c r="F34" s="713"/>
    </row>
    <row r="35" spans="1:6">
      <c r="A35" s="704" t="s">
        <v>33</v>
      </c>
      <c r="B35" s="705">
        <f>'Table 4.1 2018'!R42</f>
        <v>1.4452281817848063E-2</v>
      </c>
      <c r="C35" s="706">
        <f>'Table 4.1 2019'!R42</f>
        <v>1.493920023566476E-2</v>
      </c>
      <c r="D35" s="706">
        <f t="shared" si="0"/>
        <v>1.4695741026756411E-2</v>
      </c>
      <c r="E35" s="716"/>
      <c r="F35" s="713"/>
    </row>
    <row r="36" spans="1:6">
      <c r="A36" s="704" t="s">
        <v>323</v>
      </c>
      <c r="B36" s="705">
        <f>'Table 4.1 2018'!R10</f>
        <v>1.3736374941282457E-2</v>
      </c>
      <c r="C36" s="706">
        <f>'Table 4.1 2019'!R10</f>
        <v>1.4633606914301264E-2</v>
      </c>
      <c r="D36" s="706">
        <f t="shared" si="0"/>
        <v>1.418499092779186E-2</v>
      </c>
      <c r="E36" s="716"/>
      <c r="F36" s="713"/>
    </row>
    <row r="37" spans="1:6">
      <c r="A37" s="704" t="s">
        <v>46</v>
      </c>
      <c r="B37" s="705">
        <f>'Table 4.1 2018'!R21</f>
        <v>1.1679025199357236E-2</v>
      </c>
      <c r="C37" s="706">
        <f>'Table 4.1 2019'!R21</f>
        <v>1.2595400407549532E-2</v>
      </c>
      <c r="D37" s="706">
        <f t="shared" si="0"/>
        <v>1.2137212803453385E-2</v>
      </c>
      <c r="E37" s="716"/>
      <c r="F37" s="713"/>
    </row>
    <row r="38" spans="1:6">
      <c r="A38" s="704" t="s">
        <v>38</v>
      </c>
      <c r="B38" s="705">
        <f>'Table 4.1 2018'!R17</f>
        <v>1.1655020432292907E-2</v>
      </c>
      <c r="C38" s="706">
        <f>'Table 4.1 2019'!R17</f>
        <v>1.1638241746341942E-2</v>
      </c>
      <c r="D38" s="706">
        <f t="shared" si="0"/>
        <v>1.1646631089317424E-2</v>
      </c>
      <c r="E38" s="716"/>
      <c r="F38" s="713"/>
    </row>
    <row r="39" spans="1:6" ht="15">
      <c r="A39" s="704" t="s">
        <v>362</v>
      </c>
      <c r="B39" s="705">
        <f>'Table 4.1 2018'!R14</f>
        <v>9.8791383512396337E-3</v>
      </c>
      <c r="C39" s="706">
        <f>'Table 4.1 2019'!R14</f>
        <v>1.1483609690336689E-2</v>
      </c>
      <c r="D39" s="706">
        <f t="shared" si="0"/>
        <v>1.0681374020788162E-2</v>
      </c>
      <c r="E39" s="716"/>
      <c r="F39" s="713"/>
    </row>
    <row r="40" spans="1:6">
      <c r="A40" s="704" t="s">
        <v>41</v>
      </c>
      <c r="B40" s="705">
        <f>'Table 4.1 2018'!R35</f>
        <v>1.0748487464334093E-2</v>
      </c>
      <c r="C40" s="706">
        <f>'Table 4.1 2019'!R35</f>
        <v>1.0255271370081313E-2</v>
      </c>
      <c r="D40" s="706">
        <f t="shared" si="0"/>
        <v>1.0501879417207703E-2</v>
      </c>
      <c r="E40" s="716"/>
      <c r="F40" s="713"/>
    </row>
    <row r="41" spans="1:6">
      <c r="A41" s="704" t="s">
        <v>77</v>
      </c>
      <c r="B41" s="705">
        <f>'Table 4.1 2018'!R29</f>
        <v>1.0379002324226269E-2</v>
      </c>
      <c r="C41" s="706">
        <f>'Table 4.1 2019'!R29</f>
        <v>1.0508097075894056E-2</v>
      </c>
      <c r="D41" s="706">
        <f t="shared" si="0"/>
        <v>1.0443549700060163E-2</v>
      </c>
      <c r="E41" s="716"/>
      <c r="F41" s="713"/>
    </row>
    <row r="42" spans="1:6">
      <c r="A42" s="707" t="s">
        <v>120</v>
      </c>
      <c r="B42" s="708">
        <f>'Table 4.1 2018'!R55</f>
        <v>9.5336579781961413E-3</v>
      </c>
      <c r="C42" s="709">
        <f>'Table 4.1 2019'!R55</f>
        <v>9.3306909758659289E-3</v>
      </c>
      <c r="D42" s="709">
        <f t="shared" si="0"/>
        <v>9.4321744770310342E-3</v>
      </c>
      <c r="E42" s="714">
        <v>1</v>
      </c>
      <c r="F42" s="713"/>
    </row>
    <row r="43" spans="1:6">
      <c r="A43" s="707" t="s">
        <v>16</v>
      </c>
      <c r="B43" s="708">
        <f>'Table 4.1 2018'!R24</f>
        <v>8.3390678054653684E-3</v>
      </c>
      <c r="C43" s="709">
        <f>'Table 4.1 2019'!R24</f>
        <v>9.2636990465580146E-3</v>
      </c>
      <c r="D43" s="709">
        <f t="shared" si="0"/>
        <v>8.8013834260116906E-3</v>
      </c>
      <c r="E43" s="714"/>
      <c r="F43" s="713"/>
    </row>
    <row r="44" spans="1:6">
      <c r="A44" s="707" t="s">
        <v>60</v>
      </c>
      <c r="B44" s="708">
        <f>'Table 4.1 2018'!R27</f>
        <v>8.5687604785515056E-3</v>
      </c>
      <c r="C44" s="709">
        <f>'Table 4.1 2019'!R27</f>
        <v>8.4932918595170062E-3</v>
      </c>
      <c r="D44" s="709">
        <f t="shared" si="0"/>
        <v>8.5310261690342559E-3</v>
      </c>
      <c r="E44" s="714"/>
      <c r="F44" s="713"/>
    </row>
    <row r="45" spans="1:6">
      <c r="A45" s="707" t="s">
        <v>42</v>
      </c>
      <c r="B45" s="708">
        <f>'Table 4.1 2018'!R39</f>
        <v>8.3127096298653193E-3</v>
      </c>
      <c r="C45" s="709">
        <f>'Table 4.1 2019'!R39</f>
        <v>7.8164898339747272E-3</v>
      </c>
      <c r="D45" s="709">
        <f t="shared" si="0"/>
        <v>8.0645997319200233E-3</v>
      </c>
      <c r="E45" s="714"/>
      <c r="F45" s="713"/>
    </row>
    <row r="46" spans="1:6">
      <c r="A46" s="707" t="s">
        <v>80</v>
      </c>
      <c r="B46" s="708">
        <f>'Table 4.1 2018'!R32</f>
        <v>6.4921127866333925E-3</v>
      </c>
      <c r="C46" s="709">
        <f>'Table 4.1 2019'!R32</f>
        <v>6.3555151564651568E-3</v>
      </c>
      <c r="D46" s="709">
        <f t="shared" si="0"/>
        <v>6.4238139715492746E-3</v>
      </c>
      <c r="E46" s="714"/>
      <c r="F46" s="713"/>
    </row>
    <row r="47" spans="1:6">
      <c r="A47" s="707" t="s">
        <v>35</v>
      </c>
      <c r="B47" s="708">
        <f>'Table 4.1 2018'!R7</f>
        <v>5.9828351795038828E-3</v>
      </c>
      <c r="C47" s="709">
        <f>'Table 4.1 2019'!R7</f>
        <v>5.565377469696476E-3</v>
      </c>
      <c r="D47" s="709">
        <f t="shared" si="0"/>
        <v>5.7741063246001794E-3</v>
      </c>
      <c r="E47" s="714"/>
      <c r="F47" s="713"/>
    </row>
    <row r="48" spans="1:6">
      <c r="A48" s="707" t="s">
        <v>57</v>
      </c>
      <c r="B48" s="708">
        <f>'Table 4.1 2018'!R8</f>
        <v>4.7910690970159719E-3</v>
      </c>
      <c r="C48" s="709">
        <f>'Table 4.1 2019'!R8</f>
        <v>4.9234479553007821E-3</v>
      </c>
      <c r="D48" s="709">
        <f t="shared" si="0"/>
        <v>4.857258526158377E-3</v>
      </c>
      <c r="E48" s="714"/>
      <c r="F48" s="713"/>
    </row>
    <row r="49" spans="1:6">
      <c r="A49" s="707" t="s">
        <v>124</v>
      </c>
      <c r="B49" s="708">
        <f>'Table 4.1 2018'!R50</f>
        <v>2.4593119198259607E-3</v>
      </c>
      <c r="C49" s="709">
        <f>'Table 4.1 2019'!R50</f>
        <v>2.5856131619869439E-3</v>
      </c>
      <c r="D49" s="709">
        <f t="shared" si="0"/>
        <v>2.5224625409064521E-3</v>
      </c>
      <c r="E49" s="714"/>
      <c r="F49" s="713"/>
    </row>
  </sheetData>
  <autoFilter ref="A2:D2" xr:uid="{3368FEBE-DCBD-A64C-8796-8E8C346EBDD8}"/>
  <mergeCells count="12">
    <mergeCell ref="E3:E7"/>
    <mergeCell ref="E8:E10"/>
    <mergeCell ref="F3:F7"/>
    <mergeCell ref="F8:F10"/>
    <mergeCell ref="E11:E16"/>
    <mergeCell ref="F11:F16"/>
    <mergeCell ref="E17:E22"/>
    <mergeCell ref="F17:F31"/>
    <mergeCell ref="E42:E49"/>
    <mergeCell ref="F32:F49"/>
    <mergeCell ref="E23:E31"/>
    <mergeCell ref="E32:E41"/>
  </mergeCells>
  <hyperlinks>
    <hyperlink ref="A1" location="Index!A1" display="&lt; Back to Index &gt;" xr:uid="{1AD5A8A6-3A36-A14E-8EED-B879BF979C84}"/>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79"/>
  <sheetViews>
    <sheetView showGridLines="0" zoomScaleNormal="100" workbookViewId="0">
      <pane xSplit="1" ySplit="4" topLeftCell="B39" activePane="bottomRight" state="frozen"/>
      <selection pane="topRight" activeCell="B1" sqref="B1"/>
      <selection pane="bottomLeft" activeCell="A5" sqref="A5"/>
      <selection pane="bottomRight"/>
    </sheetView>
  </sheetViews>
  <sheetFormatPr defaultColWidth="9.140625" defaultRowHeight="12.75"/>
  <cols>
    <col min="1" max="1" width="46.42578125" style="32" customWidth="1"/>
    <col min="2" max="3" width="11.28515625" style="3" customWidth="1"/>
    <col min="4" max="4" width="10.28515625" style="3" customWidth="1"/>
    <col min="5" max="5" width="11.140625" style="3" customWidth="1"/>
    <col min="6" max="7" width="12.7109375" style="3" customWidth="1"/>
    <col min="8" max="8" width="9.140625" style="3"/>
    <col min="9" max="9" width="9" style="3" customWidth="1"/>
    <col min="10" max="11" width="13.7109375" style="3" customWidth="1"/>
    <col min="12" max="12" width="8.140625" style="3" customWidth="1"/>
    <col min="13" max="13" width="9.140625" style="3"/>
    <col min="14" max="14" width="9.42578125" style="3" customWidth="1"/>
    <col min="15" max="15" width="1.28515625" style="3" customWidth="1"/>
    <col min="16" max="16384" width="9.140625" style="3"/>
  </cols>
  <sheetData>
    <row r="1" spans="1:16">
      <c r="A1" s="187" t="s">
        <v>286</v>
      </c>
      <c r="B1" s="523" t="s">
        <v>304</v>
      </c>
    </row>
    <row r="2" spans="1:16">
      <c r="A2" s="720" t="s">
        <v>67</v>
      </c>
      <c r="B2" s="720"/>
      <c r="C2" s="720"/>
      <c r="D2" s="720"/>
      <c r="E2" s="720"/>
      <c r="F2" s="720"/>
      <c r="G2" s="720"/>
      <c r="H2" s="720"/>
      <c r="I2" s="720"/>
      <c r="J2" s="720"/>
      <c r="K2" s="720"/>
      <c r="L2" s="720"/>
      <c r="M2" s="720"/>
      <c r="N2" s="720"/>
    </row>
    <row r="3" spans="1:16">
      <c r="A3" s="4"/>
      <c r="B3" s="4"/>
      <c r="C3" s="4"/>
      <c r="D3" s="4"/>
      <c r="E3" s="4"/>
      <c r="F3" s="4"/>
      <c r="G3" s="4"/>
      <c r="H3" s="4"/>
      <c r="I3" s="4"/>
      <c r="J3" s="4"/>
      <c r="K3" s="4"/>
      <c r="L3" s="4"/>
      <c r="M3" s="4"/>
      <c r="N3" s="4"/>
    </row>
    <row r="4" spans="1:16" s="29" customFormat="1" ht="38.25" customHeight="1">
      <c r="A4" s="13" t="s">
        <v>71</v>
      </c>
      <c r="B4" s="28" t="s">
        <v>0</v>
      </c>
      <c r="C4" s="28" t="s">
        <v>1</v>
      </c>
      <c r="D4" s="28" t="s">
        <v>2</v>
      </c>
      <c r="E4" s="28" t="s">
        <v>3</v>
      </c>
      <c r="F4" s="28" t="s">
        <v>4</v>
      </c>
      <c r="G4" s="28" t="s">
        <v>11</v>
      </c>
      <c r="H4" s="28" t="s">
        <v>5</v>
      </c>
      <c r="I4" s="28" t="s">
        <v>6</v>
      </c>
      <c r="J4" s="28" t="s">
        <v>7</v>
      </c>
      <c r="K4" s="28" t="s">
        <v>12</v>
      </c>
      <c r="L4" s="28" t="s">
        <v>8</v>
      </c>
      <c r="M4" s="28" t="s">
        <v>9</v>
      </c>
      <c r="N4" s="11" t="s">
        <v>10</v>
      </c>
    </row>
    <row r="5" spans="1:16" s="29" customFormat="1">
      <c r="A5" s="5" t="s">
        <v>13</v>
      </c>
      <c r="B5" s="6"/>
      <c r="C5" s="6"/>
      <c r="D5" s="6"/>
      <c r="E5" s="6"/>
      <c r="F5" s="6"/>
      <c r="G5" s="6"/>
      <c r="H5" s="6"/>
      <c r="I5" s="6"/>
      <c r="J5" s="6"/>
      <c r="K5" s="6"/>
      <c r="L5" s="6"/>
      <c r="M5" s="6"/>
      <c r="N5" s="6"/>
    </row>
    <row r="6" spans="1:16" s="2" customFormat="1">
      <c r="A6" s="14" t="s">
        <v>14</v>
      </c>
      <c r="B6" s="14">
        <v>338</v>
      </c>
      <c r="C6" s="14">
        <v>29</v>
      </c>
      <c r="D6" s="14">
        <v>25</v>
      </c>
      <c r="E6" s="21">
        <v>2293</v>
      </c>
      <c r="F6" s="14">
        <v>957</v>
      </c>
      <c r="G6" s="21">
        <v>3641</v>
      </c>
      <c r="H6" s="21">
        <v>14879</v>
      </c>
      <c r="I6" s="21">
        <v>2245</v>
      </c>
      <c r="J6" s="14">
        <v>86</v>
      </c>
      <c r="K6" s="21">
        <v>17210</v>
      </c>
      <c r="L6" s="14">
        <v>275</v>
      </c>
      <c r="M6" s="14">
        <v>198</v>
      </c>
      <c r="N6" s="16">
        <v>21325</v>
      </c>
    </row>
    <row r="7" spans="1:16" s="2" customFormat="1">
      <c r="A7" s="14" t="s">
        <v>15</v>
      </c>
      <c r="B7" s="21">
        <v>1229</v>
      </c>
      <c r="C7" s="14">
        <v>0</v>
      </c>
      <c r="D7" s="14">
        <v>61</v>
      </c>
      <c r="E7" s="21">
        <v>4033</v>
      </c>
      <c r="F7" s="14">
        <v>910</v>
      </c>
      <c r="G7" s="21">
        <v>6234</v>
      </c>
      <c r="H7" s="21">
        <v>19745</v>
      </c>
      <c r="I7" s="14">
        <v>0</v>
      </c>
      <c r="J7" s="14">
        <v>99</v>
      </c>
      <c r="K7" s="21">
        <v>19844</v>
      </c>
      <c r="L7" s="14">
        <v>86</v>
      </c>
      <c r="M7" s="14">
        <v>498</v>
      </c>
      <c r="N7" s="16">
        <v>26661</v>
      </c>
    </row>
    <row r="8" spans="1:16" s="2" customFormat="1">
      <c r="A8" s="14" t="s">
        <v>16</v>
      </c>
      <c r="B8" s="14">
        <v>259</v>
      </c>
      <c r="C8" s="14">
        <v>0</v>
      </c>
      <c r="D8" s="14">
        <v>16</v>
      </c>
      <c r="E8" s="14">
        <v>731</v>
      </c>
      <c r="F8" s="14">
        <v>139</v>
      </c>
      <c r="G8" s="21">
        <v>1145</v>
      </c>
      <c r="H8" s="21">
        <v>8116</v>
      </c>
      <c r="I8" s="14">
        <v>207</v>
      </c>
      <c r="J8" s="14">
        <v>124</v>
      </c>
      <c r="K8" s="21">
        <v>8447</v>
      </c>
      <c r="L8" s="14">
        <v>345</v>
      </c>
      <c r="M8" s="14">
        <v>12</v>
      </c>
      <c r="N8" s="16">
        <v>9950</v>
      </c>
    </row>
    <row r="9" spans="1:16" s="2" customFormat="1">
      <c r="A9" s="14" t="s">
        <v>17</v>
      </c>
      <c r="B9" s="14">
        <v>339</v>
      </c>
      <c r="C9" s="33" t="s">
        <v>68</v>
      </c>
      <c r="D9" s="33" t="s">
        <v>69</v>
      </c>
      <c r="E9" s="21">
        <v>1138</v>
      </c>
      <c r="F9" s="14">
        <v>875</v>
      </c>
      <c r="G9" s="21">
        <v>2422</v>
      </c>
      <c r="H9" s="21">
        <v>6503</v>
      </c>
      <c r="I9" s="14">
        <v>0</v>
      </c>
      <c r="J9" s="14">
        <v>200</v>
      </c>
      <c r="K9" s="21">
        <v>6703</v>
      </c>
      <c r="L9" s="33" t="s">
        <v>69</v>
      </c>
      <c r="M9" s="33" t="s">
        <v>69</v>
      </c>
      <c r="N9" s="16">
        <v>9326</v>
      </c>
      <c r="P9" s="37"/>
    </row>
    <row r="10" spans="1:16" s="2" customFormat="1">
      <c r="A10" s="14" t="s">
        <v>18</v>
      </c>
      <c r="B10" s="21">
        <v>2420</v>
      </c>
      <c r="C10" s="33" t="s">
        <v>68</v>
      </c>
      <c r="D10" s="33" t="s">
        <v>69</v>
      </c>
      <c r="E10" s="21">
        <v>6108</v>
      </c>
      <c r="F10" s="14">
        <v>961</v>
      </c>
      <c r="G10" s="21">
        <v>9896</v>
      </c>
      <c r="H10" s="21">
        <v>26023</v>
      </c>
      <c r="I10" s="14">
        <v>0</v>
      </c>
      <c r="J10" s="14">
        <v>131</v>
      </c>
      <c r="K10" s="21">
        <v>26154</v>
      </c>
      <c r="L10" s="14">
        <v>29</v>
      </c>
      <c r="M10" s="14">
        <v>586</v>
      </c>
      <c r="N10" s="16">
        <v>36665</v>
      </c>
    </row>
    <row r="11" spans="1:16" s="2" customFormat="1">
      <c r="A11" s="14" t="s">
        <v>19</v>
      </c>
      <c r="B11" s="14">
        <v>711</v>
      </c>
      <c r="C11" s="14">
        <v>161</v>
      </c>
      <c r="D11" s="14">
        <v>183</v>
      </c>
      <c r="E11" s="21">
        <v>2301</v>
      </c>
      <c r="F11" s="14">
        <v>380</v>
      </c>
      <c r="G11" s="21">
        <v>3735</v>
      </c>
      <c r="H11" s="21">
        <v>17939</v>
      </c>
      <c r="I11" s="14">
        <v>0</v>
      </c>
      <c r="J11" s="14">
        <v>37</v>
      </c>
      <c r="K11" s="21">
        <v>17976</v>
      </c>
      <c r="L11" s="21">
        <v>1522</v>
      </c>
      <c r="M11" s="14">
        <v>184</v>
      </c>
      <c r="N11" s="16">
        <v>23417</v>
      </c>
    </row>
    <row r="12" spans="1:16" s="2" customFormat="1">
      <c r="A12" s="14" t="s">
        <v>20</v>
      </c>
      <c r="B12" s="21">
        <v>2831</v>
      </c>
      <c r="C12" s="14">
        <v>70</v>
      </c>
      <c r="D12" s="14">
        <v>642</v>
      </c>
      <c r="E12" s="21">
        <v>6535</v>
      </c>
      <c r="F12" s="14">
        <v>855</v>
      </c>
      <c r="G12" s="21">
        <v>10932</v>
      </c>
      <c r="H12" s="21">
        <v>28300</v>
      </c>
      <c r="I12" s="14">
        <v>0</v>
      </c>
      <c r="J12" s="14">
        <v>127</v>
      </c>
      <c r="K12" s="21">
        <v>28427</v>
      </c>
      <c r="L12" s="33" t="s">
        <v>68</v>
      </c>
      <c r="M12" s="33" t="s">
        <v>69</v>
      </c>
      <c r="N12" s="16">
        <v>39795</v>
      </c>
    </row>
    <row r="13" spans="1:16" s="2" customFormat="1">
      <c r="A13" s="14" t="s">
        <v>21</v>
      </c>
      <c r="B13" s="14">
        <v>675</v>
      </c>
      <c r="C13" s="14">
        <v>0</v>
      </c>
      <c r="D13" s="14">
        <v>136</v>
      </c>
      <c r="E13" s="21">
        <v>5273</v>
      </c>
      <c r="F13" s="14">
        <v>886</v>
      </c>
      <c r="G13" s="21">
        <v>6969</v>
      </c>
      <c r="H13" s="21">
        <v>17190</v>
      </c>
      <c r="I13" s="14">
        <v>0</v>
      </c>
      <c r="J13" s="14">
        <v>16</v>
      </c>
      <c r="K13" s="21">
        <v>17206</v>
      </c>
      <c r="L13" s="14">
        <v>207</v>
      </c>
      <c r="M13" s="14">
        <v>129</v>
      </c>
      <c r="N13" s="16">
        <v>24511</v>
      </c>
    </row>
    <row r="14" spans="1:16" s="2" customFormat="1">
      <c r="A14" s="14" t="s">
        <v>22</v>
      </c>
      <c r="B14" s="14">
        <v>542</v>
      </c>
      <c r="C14" s="14">
        <v>0</v>
      </c>
      <c r="D14" s="14">
        <v>62</v>
      </c>
      <c r="E14" s="21">
        <v>3269</v>
      </c>
      <c r="F14" s="14">
        <v>400</v>
      </c>
      <c r="G14" s="21">
        <v>4273</v>
      </c>
      <c r="H14" s="21">
        <v>22873</v>
      </c>
      <c r="I14" s="14">
        <v>0</v>
      </c>
      <c r="J14" s="14">
        <v>624</v>
      </c>
      <c r="K14" s="21">
        <v>23497</v>
      </c>
      <c r="L14" s="14">
        <v>410</v>
      </c>
      <c r="M14" s="14">
        <v>214</v>
      </c>
      <c r="N14" s="16">
        <v>28394</v>
      </c>
    </row>
    <row r="15" spans="1:16" s="2" customFormat="1">
      <c r="A15" s="14" t="s">
        <v>23</v>
      </c>
      <c r="B15" s="14">
        <v>928</v>
      </c>
      <c r="C15" s="33" t="s">
        <v>68</v>
      </c>
      <c r="D15" s="33" t="s">
        <v>69</v>
      </c>
      <c r="E15" s="21">
        <v>3236</v>
      </c>
      <c r="F15" s="14">
        <v>833</v>
      </c>
      <c r="G15" s="21">
        <v>5165</v>
      </c>
      <c r="H15" s="21">
        <v>14908</v>
      </c>
      <c r="I15" s="14">
        <v>0</v>
      </c>
      <c r="J15" s="14">
        <v>10</v>
      </c>
      <c r="K15" s="21">
        <v>14918</v>
      </c>
      <c r="L15" s="14">
        <v>350</v>
      </c>
      <c r="M15" s="14">
        <v>304</v>
      </c>
      <c r="N15" s="16">
        <v>20737</v>
      </c>
    </row>
    <row r="16" spans="1:16" s="2" customFormat="1">
      <c r="A16" s="14" t="s">
        <v>64</v>
      </c>
      <c r="B16" s="14">
        <v>14</v>
      </c>
      <c r="C16" s="33" t="s">
        <v>68</v>
      </c>
      <c r="D16" s="33" t="s">
        <v>69</v>
      </c>
      <c r="E16" s="14">
        <v>374</v>
      </c>
      <c r="F16" s="21">
        <v>2316</v>
      </c>
      <c r="G16" s="21">
        <v>2727</v>
      </c>
      <c r="H16" s="21">
        <v>10375</v>
      </c>
      <c r="I16" s="14">
        <v>888</v>
      </c>
      <c r="J16" s="21">
        <v>6188</v>
      </c>
      <c r="K16" s="21">
        <v>17451</v>
      </c>
      <c r="L16" s="14">
        <v>0</v>
      </c>
      <c r="M16" s="14">
        <v>33</v>
      </c>
      <c r="N16" s="16">
        <v>20211</v>
      </c>
    </row>
    <row r="17" spans="1:14" s="2" customFormat="1">
      <c r="A17" s="15" t="s">
        <v>24</v>
      </c>
      <c r="B17" s="16">
        <v>10286</v>
      </c>
      <c r="C17" s="15">
        <v>269</v>
      </c>
      <c r="D17" s="16">
        <v>1784</v>
      </c>
      <c r="E17" s="16">
        <v>35290</v>
      </c>
      <c r="F17" s="16">
        <v>9511</v>
      </c>
      <c r="G17" s="16">
        <v>57141</v>
      </c>
      <c r="H17" s="16">
        <v>186852</v>
      </c>
      <c r="I17" s="16">
        <v>3340</v>
      </c>
      <c r="J17" s="16">
        <v>7641</v>
      </c>
      <c r="K17" s="16">
        <v>197833</v>
      </c>
      <c r="L17" s="16">
        <v>3396</v>
      </c>
      <c r="M17" s="16">
        <v>2622</v>
      </c>
      <c r="N17" s="16">
        <v>260991</v>
      </c>
    </row>
    <row r="18" spans="1:14" s="2" customFormat="1">
      <c r="A18" s="5" t="s">
        <v>25</v>
      </c>
      <c r="B18" s="7"/>
      <c r="C18" s="8"/>
      <c r="D18" s="8"/>
      <c r="E18" s="7"/>
      <c r="F18" s="7"/>
      <c r="G18" s="7"/>
      <c r="H18" s="7"/>
      <c r="I18" s="7"/>
      <c r="J18" s="8"/>
      <c r="K18" s="7"/>
      <c r="L18" s="7"/>
      <c r="M18" s="7"/>
      <c r="N18" s="7"/>
    </row>
    <row r="19" spans="1:14" s="2" customFormat="1">
      <c r="A19" s="14" t="s">
        <v>63</v>
      </c>
      <c r="B19" s="33" t="s">
        <v>69</v>
      </c>
      <c r="C19" s="33" t="s">
        <v>68</v>
      </c>
      <c r="D19" s="23">
        <v>49</v>
      </c>
      <c r="E19" s="21">
        <v>3842</v>
      </c>
      <c r="F19" s="21">
        <v>1282</v>
      </c>
      <c r="G19" s="21">
        <v>5968</v>
      </c>
      <c r="H19" s="21">
        <v>21275</v>
      </c>
      <c r="I19" s="14">
        <v>55</v>
      </c>
      <c r="J19" s="14">
        <v>67</v>
      </c>
      <c r="K19" s="21">
        <v>21397</v>
      </c>
      <c r="L19" s="14">
        <v>0</v>
      </c>
      <c r="M19" s="14">
        <v>191</v>
      </c>
      <c r="N19" s="16">
        <v>27556</v>
      </c>
    </row>
    <row r="20" spans="1:14" s="2" customFormat="1">
      <c r="A20" s="14" t="s">
        <v>26</v>
      </c>
      <c r="B20" s="14">
        <v>927</v>
      </c>
      <c r="C20" s="14">
        <v>15</v>
      </c>
      <c r="D20" s="14">
        <v>130</v>
      </c>
      <c r="E20" s="21">
        <v>2801</v>
      </c>
      <c r="F20" s="21">
        <v>1372</v>
      </c>
      <c r="G20" s="21">
        <v>5246</v>
      </c>
      <c r="H20" s="21">
        <v>19674</v>
      </c>
      <c r="I20" s="14">
        <v>0</v>
      </c>
      <c r="J20" s="14">
        <v>128</v>
      </c>
      <c r="K20" s="21">
        <v>19802</v>
      </c>
      <c r="L20" s="14">
        <v>10</v>
      </c>
      <c r="M20" s="14">
        <v>76</v>
      </c>
      <c r="N20" s="16">
        <v>25135</v>
      </c>
    </row>
    <row r="21" spans="1:14" s="2" customFormat="1">
      <c r="A21" s="14" t="s">
        <v>27</v>
      </c>
      <c r="B21" s="14">
        <v>37</v>
      </c>
      <c r="C21" s="14">
        <v>0</v>
      </c>
      <c r="D21" s="14">
        <v>24</v>
      </c>
      <c r="E21" s="14">
        <v>114</v>
      </c>
      <c r="F21" s="14">
        <v>140</v>
      </c>
      <c r="G21" s="14">
        <v>315</v>
      </c>
      <c r="H21" s="14">
        <v>199</v>
      </c>
      <c r="I21" s="14">
        <v>0</v>
      </c>
      <c r="J21" s="14">
        <v>112</v>
      </c>
      <c r="K21" s="14">
        <v>312</v>
      </c>
      <c r="L21" s="14">
        <v>0</v>
      </c>
      <c r="M21" s="14">
        <v>0</v>
      </c>
      <c r="N21" s="15">
        <v>627</v>
      </c>
    </row>
    <row r="22" spans="1:14" s="2" customFormat="1">
      <c r="A22" s="14" t="s">
        <v>28</v>
      </c>
      <c r="B22" s="21">
        <v>2368</v>
      </c>
      <c r="C22" s="14">
        <v>0</v>
      </c>
      <c r="D22" s="14">
        <v>500</v>
      </c>
      <c r="E22" s="21">
        <v>5482</v>
      </c>
      <c r="F22" s="21">
        <v>1599</v>
      </c>
      <c r="G22" s="21">
        <v>9949</v>
      </c>
      <c r="H22" s="21">
        <v>37875</v>
      </c>
      <c r="I22" s="14">
        <v>29</v>
      </c>
      <c r="J22" s="14">
        <v>384</v>
      </c>
      <c r="K22" s="21">
        <v>38288</v>
      </c>
      <c r="L22" s="14">
        <v>0</v>
      </c>
      <c r="M22" s="14">
        <v>316</v>
      </c>
      <c r="N22" s="16">
        <v>48553</v>
      </c>
    </row>
    <row r="23" spans="1:14" s="2" customFormat="1">
      <c r="A23" s="14" t="s">
        <v>29</v>
      </c>
      <c r="B23" s="21">
        <v>1004</v>
      </c>
      <c r="C23" s="33" t="s">
        <v>68</v>
      </c>
      <c r="D23" s="33" t="s">
        <v>69</v>
      </c>
      <c r="E23" s="21">
        <v>4988</v>
      </c>
      <c r="F23" s="21">
        <v>1087</v>
      </c>
      <c r="G23" s="21">
        <v>7261</v>
      </c>
      <c r="H23" s="21">
        <v>30017</v>
      </c>
      <c r="I23" s="14">
        <v>478</v>
      </c>
      <c r="J23" s="21">
        <v>1136</v>
      </c>
      <c r="K23" s="21">
        <v>31631</v>
      </c>
      <c r="L23" s="14">
        <v>0</v>
      </c>
      <c r="M23" s="14">
        <v>93</v>
      </c>
      <c r="N23" s="16">
        <v>38985</v>
      </c>
    </row>
    <row r="24" spans="1:14" s="2" customFormat="1">
      <c r="A24" s="14" t="s">
        <v>30</v>
      </c>
      <c r="B24" s="14">
        <v>602</v>
      </c>
      <c r="C24" s="14">
        <v>0</v>
      </c>
      <c r="D24" s="14">
        <v>47</v>
      </c>
      <c r="E24" s="21">
        <v>2237</v>
      </c>
      <c r="F24" s="14">
        <v>790</v>
      </c>
      <c r="G24" s="21">
        <v>3676</v>
      </c>
      <c r="H24" s="21">
        <v>13247</v>
      </c>
      <c r="I24" s="33" t="s">
        <v>69</v>
      </c>
      <c r="J24" s="33" t="s">
        <v>68</v>
      </c>
      <c r="K24" s="21">
        <v>13301</v>
      </c>
      <c r="L24" s="14">
        <v>0</v>
      </c>
      <c r="M24" s="14">
        <v>102</v>
      </c>
      <c r="N24" s="16">
        <v>17079</v>
      </c>
    </row>
    <row r="25" spans="1:14" s="2" customFormat="1">
      <c r="A25" s="14" t="s">
        <v>31</v>
      </c>
      <c r="B25" s="21">
        <v>2727</v>
      </c>
      <c r="C25" s="14">
        <v>58</v>
      </c>
      <c r="D25" s="14">
        <v>493</v>
      </c>
      <c r="E25" s="21">
        <v>6855</v>
      </c>
      <c r="F25" s="21">
        <v>1394</v>
      </c>
      <c r="G25" s="21">
        <v>11529</v>
      </c>
      <c r="H25" s="21">
        <v>24414</v>
      </c>
      <c r="I25" s="14">
        <v>54</v>
      </c>
      <c r="J25" s="14">
        <v>266</v>
      </c>
      <c r="K25" s="21">
        <v>24734</v>
      </c>
      <c r="L25" s="14">
        <v>43</v>
      </c>
      <c r="M25" s="14">
        <v>333</v>
      </c>
      <c r="N25" s="16">
        <v>36639</v>
      </c>
    </row>
    <row r="26" spans="1:14" s="2" customFormat="1">
      <c r="A26" s="14" t="s">
        <v>32</v>
      </c>
      <c r="B26" s="14">
        <v>107</v>
      </c>
      <c r="C26" s="14">
        <v>0</v>
      </c>
      <c r="D26" s="14">
        <v>25</v>
      </c>
      <c r="E26" s="21">
        <v>2285</v>
      </c>
      <c r="F26" s="14">
        <v>573</v>
      </c>
      <c r="G26" s="21">
        <v>2990</v>
      </c>
      <c r="H26" s="21">
        <v>5371</v>
      </c>
      <c r="I26" s="33" t="s">
        <v>69</v>
      </c>
      <c r="J26" s="33" t="s">
        <v>68</v>
      </c>
      <c r="K26" s="21">
        <v>5418</v>
      </c>
      <c r="L26" s="14">
        <v>52</v>
      </c>
      <c r="M26" s="14">
        <v>158</v>
      </c>
      <c r="N26" s="16">
        <v>8618</v>
      </c>
    </row>
    <row r="27" spans="1:14" s="2" customFormat="1">
      <c r="A27" s="14" t="s">
        <v>33</v>
      </c>
      <c r="B27" s="14">
        <v>461</v>
      </c>
      <c r="C27" s="14">
        <v>21</v>
      </c>
      <c r="D27" s="14">
        <v>41</v>
      </c>
      <c r="E27" s="21">
        <v>1399</v>
      </c>
      <c r="F27" s="14">
        <v>778</v>
      </c>
      <c r="G27" s="21">
        <v>2700</v>
      </c>
      <c r="H27" s="21">
        <v>14878</v>
      </c>
      <c r="I27" s="33" t="s">
        <v>68</v>
      </c>
      <c r="J27" s="33" t="s">
        <v>68</v>
      </c>
      <c r="K27" s="21">
        <v>14889</v>
      </c>
      <c r="L27" s="14">
        <v>372</v>
      </c>
      <c r="M27" s="14">
        <v>83</v>
      </c>
      <c r="N27" s="16">
        <v>18044</v>
      </c>
    </row>
    <row r="28" spans="1:14" s="2" customFormat="1">
      <c r="A28" s="14" t="s">
        <v>64</v>
      </c>
      <c r="B28" s="33" t="s">
        <v>68</v>
      </c>
      <c r="C28" s="14">
        <v>0</v>
      </c>
      <c r="D28" s="33" t="s">
        <v>68</v>
      </c>
      <c r="E28" s="14">
        <v>488</v>
      </c>
      <c r="F28" s="14">
        <v>592</v>
      </c>
      <c r="G28" s="21">
        <v>1084</v>
      </c>
      <c r="H28" s="21">
        <v>4714</v>
      </c>
      <c r="I28" s="14">
        <v>224</v>
      </c>
      <c r="J28" s="21">
        <v>5120</v>
      </c>
      <c r="K28" s="21">
        <v>10058</v>
      </c>
      <c r="L28" s="14">
        <v>0</v>
      </c>
      <c r="M28" s="14">
        <v>18</v>
      </c>
      <c r="N28" s="16">
        <v>11159</v>
      </c>
    </row>
    <row r="29" spans="1:14" s="2" customFormat="1">
      <c r="A29" s="15" t="s">
        <v>24</v>
      </c>
      <c r="B29" s="16">
        <v>9021</v>
      </c>
      <c r="C29" s="15">
        <v>113</v>
      </c>
      <c r="D29" s="16">
        <v>1485</v>
      </c>
      <c r="E29" s="16">
        <v>30492</v>
      </c>
      <c r="F29" s="16">
        <v>9608</v>
      </c>
      <c r="G29" s="16">
        <v>50719</v>
      </c>
      <c r="H29" s="16">
        <v>171664</v>
      </c>
      <c r="I29" s="15">
        <v>940</v>
      </c>
      <c r="J29" s="16">
        <v>7225</v>
      </c>
      <c r="K29" s="16">
        <v>179830</v>
      </c>
      <c r="L29" s="15">
        <v>477</v>
      </c>
      <c r="M29" s="16">
        <v>1370</v>
      </c>
      <c r="N29" s="16">
        <v>232396</v>
      </c>
    </row>
    <row r="30" spans="1:14" s="2" customFormat="1">
      <c r="A30" s="5" t="s">
        <v>34</v>
      </c>
      <c r="B30" s="7"/>
      <c r="C30" s="8"/>
      <c r="D30" s="8"/>
      <c r="E30" s="7"/>
      <c r="F30" s="7"/>
      <c r="G30" s="7"/>
      <c r="H30" s="7"/>
      <c r="I30" s="8"/>
      <c r="J30" s="8"/>
      <c r="K30" s="7"/>
      <c r="L30" s="8"/>
      <c r="M30" s="7"/>
      <c r="N30" s="7"/>
    </row>
    <row r="31" spans="1:14" s="2" customFormat="1">
      <c r="A31" s="14" t="s">
        <v>35</v>
      </c>
      <c r="B31" s="14">
        <v>113</v>
      </c>
      <c r="C31" s="33" t="s">
        <v>69</v>
      </c>
      <c r="D31" s="33" t="s">
        <v>69</v>
      </c>
      <c r="E31" s="21">
        <v>1239</v>
      </c>
      <c r="F31" s="14">
        <v>189</v>
      </c>
      <c r="G31" s="21">
        <v>1630</v>
      </c>
      <c r="H31" s="21">
        <v>4072</v>
      </c>
      <c r="I31" s="33" t="s">
        <v>68</v>
      </c>
      <c r="J31" s="33" t="s">
        <v>69</v>
      </c>
      <c r="K31" s="21">
        <v>4104</v>
      </c>
      <c r="L31" s="14">
        <v>220</v>
      </c>
      <c r="M31" s="14">
        <v>529</v>
      </c>
      <c r="N31" s="16">
        <v>6483</v>
      </c>
    </row>
    <row r="32" spans="1:14" s="2" customFormat="1">
      <c r="A32" s="14" t="s">
        <v>36</v>
      </c>
      <c r="B32" s="14">
        <v>172</v>
      </c>
      <c r="C32" s="33" t="s">
        <v>68</v>
      </c>
      <c r="D32" s="33" t="s">
        <v>69</v>
      </c>
      <c r="E32" s="21">
        <v>2965</v>
      </c>
      <c r="F32" s="21">
        <v>1142</v>
      </c>
      <c r="G32" s="21">
        <v>4317</v>
      </c>
      <c r="H32" s="21">
        <v>7120</v>
      </c>
      <c r="I32" s="14">
        <v>26</v>
      </c>
      <c r="J32" s="14">
        <v>425</v>
      </c>
      <c r="K32" s="21">
        <v>7571</v>
      </c>
      <c r="L32" s="14">
        <v>810</v>
      </c>
      <c r="M32" s="14">
        <v>65</v>
      </c>
      <c r="N32" s="16">
        <v>12763</v>
      </c>
    </row>
    <row r="33" spans="1:14" s="2" customFormat="1">
      <c r="A33" s="14" t="s">
        <v>37</v>
      </c>
      <c r="B33" s="14">
        <v>988</v>
      </c>
      <c r="C33" s="14">
        <v>53</v>
      </c>
      <c r="D33" s="14">
        <v>82</v>
      </c>
      <c r="E33" s="21">
        <v>3173</v>
      </c>
      <c r="F33" s="21">
        <v>1321</v>
      </c>
      <c r="G33" s="21">
        <v>5616</v>
      </c>
      <c r="H33" s="21">
        <v>25663</v>
      </c>
      <c r="I33" s="14">
        <v>0</v>
      </c>
      <c r="J33" s="14">
        <v>53</v>
      </c>
      <c r="K33" s="21">
        <v>25716</v>
      </c>
      <c r="L33" s="33" t="s">
        <v>68</v>
      </c>
      <c r="M33" s="14">
        <v>560</v>
      </c>
      <c r="N33" s="34" t="s">
        <v>69</v>
      </c>
    </row>
    <row r="34" spans="1:14" s="2" customFormat="1">
      <c r="A34" s="14" t="s">
        <v>38</v>
      </c>
      <c r="B34" s="14">
        <v>485</v>
      </c>
      <c r="C34" s="14">
        <v>35</v>
      </c>
      <c r="D34" s="14">
        <v>74</v>
      </c>
      <c r="E34" s="21">
        <v>1713</v>
      </c>
      <c r="F34" s="14">
        <v>362</v>
      </c>
      <c r="G34" s="21">
        <v>2669</v>
      </c>
      <c r="H34" s="21">
        <v>10308</v>
      </c>
      <c r="I34" s="14">
        <v>0</v>
      </c>
      <c r="J34" s="14">
        <v>363</v>
      </c>
      <c r="K34" s="21">
        <v>10672</v>
      </c>
      <c r="L34" s="33" t="s">
        <v>69</v>
      </c>
      <c r="M34" s="33" t="s">
        <v>69</v>
      </c>
      <c r="N34" s="16">
        <v>13745</v>
      </c>
    </row>
    <row r="35" spans="1:14" s="2" customFormat="1">
      <c r="A35" s="14" t="s">
        <v>39</v>
      </c>
      <c r="B35" s="21">
        <v>1071</v>
      </c>
      <c r="C35" s="14">
        <v>20</v>
      </c>
      <c r="D35" s="14">
        <v>277</v>
      </c>
      <c r="E35" s="21">
        <v>2691</v>
      </c>
      <c r="F35" s="21">
        <v>1265</v>
      </c>
      <c r="G35" s="21">
        <v>5323</v>
      </c>
      <c r="H35" s="21">
        <v>25150</v>
      </c>
      <c r="I35" s="14">
        <v>0</v>
      </c>
      <c r="J35" s="14">
        <v>499</v>
      </c>
      <c r="K35" s="21">
        <v>25649</v>
      </c>
      <c r="L35" s="14">
        <v>0</v>
      </c>
      <c r="M35" s="14">
        <v>199</v>
      </c>
      <c r="N35" s="16">
        <v>31172</v>
      </c>
    </row>
    <row r="36" spans="1:14" s="2" customFormat="1">
      <c r="A36" s="14" t="s">
        <v>40</v>
      </c>
      <c r="B36" s="21">
        <v>2683</v>
      </c>
      <c r="C36" s="14">
        <v>80</v>
      </c>
      <c r="D36" s="14">
        <v>293</v>
      </c>
      <c r="E36" s="21">
        <v>4070</v>
      </c>
      <c r="F36" s="14">
        <v>810</v>
      </c>
      <c r="G36" s="21">
        <v>7936</v>
      </c>
      <c r="H36" s="21">
        <v>26489</v>
      </c>
      <c r="I36" s="14">
        <v>93</v>
      </c>
      <c r="J36" s="14">
        <v>123</v>
      </c>
      <c r="K36" s="21">
        <v>26705</v>
      </c>
      <c r="L36" s="14">
        <v>0</v>
      </c>
      <c r="M36" s="14">
        <v>291</v>
      </c>
      <c r="N36" s="16">
        <v>34932</v>
      </c>
    </row>
    <row r="37" spans="1:14" s="2" customFormat="1">
      <c r="A37" s="14" t="s">
        <v>41</v>
      </c>
      <c r="B37" s="14">
        <v>254</v>
      </c>
      <c r="C37" s="14">
        <v>26</v>
      </c>
      <c r="D37" s="14">
        <v>27</v>
      </c>
      <c r="E37" s="21">
        <v>1939</v>
      </c>
      <c r="F37" s="14">
        <v>774</v>
      </c>
      <c r="G37" s="21">
        <v>3020</v>
      </c>
      <c r="H37" s="21">
        <v>8442</v>
      </c>
      <c r="I37" s="14">
        <v>565</v>
      </c>
      <c r="J37" s="14">
        <v>231</v>
      </c>
      <c r="K37" s="21">
        <v>9239</v>
      </c>
      <c r="L37" s="14">
        <v>882</v>
      </c>
      <c r="M37" s="14">
        <v>109</v>
      </c>
      <c r="N37" s="16">
        <v>13250</v>
      </c>
    </row>
    <row r="38" spans="1:14" s="2" customFormat="1">
      <c r="A38" s="14" t="s">
        <v>42</v>
      </c>
      <c r="B38" s="14">
        <v>101</v>
      </c>
      <c r="C38" s="14">
        <v>0</v>
      </c>
      <c r="D38" s="14">
        <v>11</v>
      </c>
      <c r="E38" s="14">
        <v>171</v>
      </c>
      <c r="F38" s="14">
        <v>301</v>
      </c>
      <c r="G38" s="14">
        <v>583</v>
      </c>
      <c r="H38" s="21">
        <v>4617</v>
      </c>
      <c r="I38" s="33" t="s">
        <v>69</v>
      </c>
      <c r="J38" s="33" t="s">
        <v>68</v>
      </c>
      <c r="K38" s="21">
        <v>4647</v>
      </c>
      <c r="L38" s="14">
        <v>501</v>
      </c>
      <c r="M38" s="14">
        <v>273</v>
      </c>
      <c r="N38" s="16">
        <v>6004</v>
      </c>
    </row>
    <row r="39" spans="1:14" s="2" customFormat="1">
      <c r="A39" s="14" t="s">
        <v>64</v>
      </c>
      <c r="B39" s="14">
        <v>0</v>
      </c>
      <c r="C39" s="14">
        <v>0</v>
      </c>
      <c r="D39" s="14">
        <v>0</v>
      </c>
      <c r="E39" s="14">
        <v>41</v>
      </c>
      <c r="F39" s="14">
        <v>37</v>
      </c>
      <c r="G39" s="14">
        <v>78</v>
      </c>
      <c r="H39" s="21">
        <v>4165</v>
      </c>
      <c r="I39" s="14">
        <v>284</v>
      </c>
      <c r="J39" s="21">
        <v>1674</v>
      </c>
      <c r="K39" s="21">
        <v>6124</v>
      </c>
      <c r="L39" s="14">
        <v>0</v>
      </c>
      <c r="M39" s="33" t="s">
        <v>68</v>
      </c>
      <c r="N39" s="34" t="s">
        <v>69</v>
      </c>
    </row>
    <row r="40" spans="1:14" s="2" customFormat="1">
      <c r="A40" s="15" t="s">
        <v>24</v>
      </c>
      <c r="B40" s="16">
        <v>5867</v>
      </c>
      <c r="C40" s="15">
        <v>296</v>
      </c>
      <c r="D40" s="15">
        <v>811</v>
      </c>
      <c r="E40" s="16">
        <v>18002</v>
      </c>
      <c r="F40" s="16">
        <v>6199</v>
      </c>
      <c r="G40" s="16">
        <v>31174</v>
      </c>
      <c r="H40" s="16">
        <v>116025</v>
      </c>
      <c r="I40" s="15">
        <v>994</v>
      </c>
      <c r="J40" s="16">
        <v>3406</v>
      </c>
      <c r="K40" s="16">
        <v>120425</v>
      </c>
      <c r="L40" s="16">
        <v>2496</v>
      </c>
      <c r="M40" s="16">
        <v>2357</v>
      </c>
      <c r="N40" s="16">
        <v>156453</v>
      </c>
    </row>
    <row r="41" spans="1:14" s="2" customFormat="1">
      <c r="A41" s="5" t="s">
        <v>43</v>
      </c>
      <c r="B41" s="7"/>
      <c r="C41" s="8"/>
      <c r="D41" s="8"/>
      <c r="E41" s="7"/>
      <c r="F41" s="7"/>
      <c r="G41" s="7"/>
      <c r="H41" s="7"/>
      <c r="I41" s="8"/>
      <c r="J41" s="8"/>
      <c r="K41" s="7"/>
      <c r="L41" s="8"/>
      <c r="M41" s="7"/>
      <c r="N41" s="7"/>
    </row>
    <row r="42" spans="1:14" s="2" customFormat="1">
      <c r="A42" s="14" t="s">
        <v>44</v>
      </c>
      <c r="B42" s="21">
        <v>1114</v>
      </c>
      <c r="C42" s="14">
        <v>0</v>
      </c>
      <c r="D42" s="14">
        <v>185</v>
      </c>
      <c r="E42" s="21">
        <v>3151</v>
      </c>
      <c r="F42" s="21">
        <v>1081</v>
      </c>
      <c r="G42" s="21">
        <v>5532</v>
      </c>
      <c r="H42" s="21">
        <v>26603</v>
      </c>
      <c r="I42" s="14">
        <v>239</v>
      </c>
      <c r="J42" s="14">
        <v>163</v>
      </c>
      <c r="K42" s="21">
        <v>27005</v>
      </c>
      <c r="L42" s="14">
        <v>374</v>
      </c>
      <c r="M42" s="14">
        <v>255</v>
      </c>
      <c r="N42" s="16">
        <v>33166</v>
      </c>
    </row>
    <row r="43" spans="1:14" s="2" customFormat="1">
      <c r="A43" s="14" t="s">
        <v>45</v>
      </c>
      <c r="B43" s="14">
        <v>340</v>
      </c>
      <c r="C43" s="14">
        <v>20</v>
      </c>
      <c r="D43" s="14">
        <v>99</v>
      </c>
      <c r="E43" s="21">
        <v>2173</v>
      </c>
      <c r="F43" s="21">
        <v>1121</v>
      </c>
      <c r="G43" s="21">
        <v>3752</v>
      </c>
      <c r="H43" s="21">
        <v>13667</v>
      </c>
      <c r="I43" s="14">
        <v>76</v>
      </c>
      <c r="J43" s="14">
        <v>71</v>
      </c>
      <c r="K43" s="21">
        <v>13814</v>
      </c>
      <c r="L43" s="14">
        <v>632</v>
      </c>
      <c r="M43" s="14">
        <v>10</v>
      </c>
      <c r="N43" s="16">
        <v>18208</v>
      </c>
    </row>
    <row r="44" spans="1:14" s="2" customFormat="1">
      <c r="A44" s="14" t="s">
        <v>46</v>
      </c>
      <c r="B44" s="14">
        <v>567</v>
      </c>
      <c r="C44" s="14">
        <v>14</v>
      </c>
      <c r="D44" s="14">
        <v>79</v>
      </c>
      <c r="E44" s="14">
        <v>651</v>
      </c>
      <c r="F44" s="14">
        <v>609</v>
      </c>
      <c r="G44" s="21">
        <v>1919</v>
      </c>
      <c r="H44" s="21">
        <v>10486</v>
      </c>
      <c r="I44" s="14">
        <v>0</v>
      </c>
      <c r="J44" s="14">
        <v>21</v>
      </c>
      <c r="K44" s="21">
        <v>10507</v>
      </c>
      <c r="L44" s="14">
        <v>155</v>
      </c>
      <c r="M44" s="14">
        <v>90</v>
      </c>
      <c r="N44" s="16">
        <v>12671</v>
      </c>
    </row>
    <row r="45" spans="1:14" s="1" customFormat="1">
      <c r="A45" s="14" t="s">
        <v>47</v>
      </c>
      <c r="B45" s="14">
        <v>38</v>
      </c>
      <c r="C45" s="14">
        <v>0</v>
      </c>
      <c r="D45" s="14">
        <v>14</v>
      </c>
      <c r="E45" s="14">
        <v>163</v>
      </c>
      <c r="F45" s="14">
        <v>153</v>
      </c>
      <c r="G45" s="14">
        <v>368</v>
      </c>
      <c r="H45" s="21">
        <v>6259</v>
      </c>
      <c r="I45" s="14">
        <v>0</v>
      </c>
      <c r="J45" s="33" t="s">
        <v>68</v>
      </c>
      <c r="K45" s="35" t="s">
        <v>69</v>
      </c>
      <c r="L45" s="14">
        <v>270</v>
      </c>
      <c r="M45" s="33" t="s">
        <v>69</v>
      </c>
      <c r="N45" s="16">
        <v>7063</v>
      </c>
    </row>
    <row r="46" spans="1:14" s="2" customFormat="1">
      <c r="A46" s="14" t="s">
        <v>48</v>
      </c>
      <c r="B46" s="21">
        <v>1434</v>
      </c>
      <c r="C46" s="14">
        <v>40</v>
      </c>
      <c r="D46" s="14">
        <v>187</v>
      </c>
      <c r="E46" s="21">
        <v>1666</v>
      </c>
      <c r="F46" s="14">
        <v>513</v>
      </c>
      <c r="G46" s="21">
        <v>3840</v>
      </c>
      <c r="H46" s="21">
        <v>14839</v>
      </c>
      <c r="I46" s="14">
        <v>0</v>
      </c>
      <c r="J46" s="33" t="s">
        <v>69</v>
      </c>
      <c r="K46" s="35" t="s">
        <v>69</v>
      </c>
      <c r="L46" s="14">
        <v>77</v>
      </c>
      <c r="M46" s="33" t="s">
        <v>68</v>
      </c>
      <c r="N46" s="16">
        <v>18857</v>
      </c>
    </row>
    <row r="47" spans="1:14" s="2" customFormat="1">
      <c r="A47" s="14" t="s">
        <v>64</v>
      </c>
      <c r="B47" s="14">
        <v>0</v>
      </c>
      <c r="C47" s="14">
        <v>0</v>
      </c>
      <c r="D47" s="14">
        <v>0</v>
      </c>
      <c r="E47" s="14">
        <v>0</v>
      </c>
      <c r="F47" s="14">
        <v>19</v>
      </c>
      <c r="G47" s="14">
        <v>19</v>
      </c>
      <c r="H47" s="14">
        <v>50</v>
      </c>
      <c r="I47" s="14">
        <v>92</v>
      </c>
      <c r="J47" s="21">
        <v>1607</v>
      </c>
      <c r="K47" s="21">
        <v>1749</v>
      </c>
      <c r="L47" s="14">
        <v>0</v>
      </c>
      <c r="M47" s="14">
        <v>609</v>
      </c>
      <c r="N47" s="16">
        <v>2376</v>
      </c>
    </row>
    <row r="48" spans="1:14" s="2" customFormat="1">
      <c r="A48" s="15" t="s">
        <v>24</v>
      </c>
      <c r="B48" s="16">
        <v>3492</v>
      </c>
      <c r="C48" s="15">
        <v>74</v>
      </c>
      <c r="D48" s="15">
        <v>564</v>
      </c>
      <c r="E48" s="16">
        <v>7804</v>
      </c>
      <c r="F48" s="16">
        <v>3497</v>
      </c>
      <c r="G48" s="16">
        <v>15430</v>
      </c>
      <c r="H48" s="16">
        <v>71904</v>
      </c>
      <c r="I48" s="15">
        <v>407</v>
      </c>
      <c r="J48" s="16">
        <v>1969</v>
      </c>
      <c r="K48" s="16">
        <v>74280</v>
      </c>
      <c r="L48" s="16">
        <v>1508</v>
      </c>
      <c r="M48" s="16">
        <v>1124</v>
      </c>
      <c r="N48" s="16">
        <v>92342</v>
      </c>
    </row>
    <row r="49" spans="1:16" s="2" customFormat="1">
      <c r="A49" s="5" t="s">
        <v>49</v>
      </c>
      <c r="B49" s="8"/>
      <c r="C49" s="8"/>
      <c r="D49" s="8"/>
      <c r="E49" s="7"/>
      <c r="F49" s="7"/>
      <c r="G49" s="7"/>
      <c r="H49" s="7"/>
      <c r="I49" s="8"/>
      <c r="J49" s="8"/>
      <c r="K49" s="7"/>
      <c r="L49" s="8"/>
      <c r="M49" s="8"/>
      <c r="N49" s="7"/>
    </row>
    <row r="50" spans="1:16" s="2" customFormat="1">
      <c r="A50" s="14" t="s">
        <v>50</v>
      </c>
      <c r="B50" s="33" t="s">
        <v>69</v>
      </c>
      <c r="C50" s="33" t="s">
        <v>69</v>
      </c>
      <c r="D50" s="14">
        <v>61</v>
      </c>
      <c r="E50" s="21">
        <v>1690</v>
      </c>
      <c r="F50" s="14">
        <v>785</v>
      </c>
      <c r="G50" s="21">
        <v>3142</v>
      </c>
      <c r="H50" s="21">
        <v>9605</v>
      </c>
      <c r="I50" s="14">
        <v>0</v>
      </c>
      <c r="J50" s="14">
        <v>82</v>
      </c>
      <c r="K50" s="21">
        <v>9687</v>
      </c>
      <c r="L50" s="14">
        <v>0</v>
      </c>
      <c r="M50" s="23">
        <v>37</v>
      </c>
      <c r="N50" s="24">
        <v>12866</v>
      </c>
      <c r="P50" s="37"/>
    </row>
    <row r="51" spans="1:16" s="2" customFormat="1">
      <c r="A51" s="14" t="s">
        <v>51</v>
      </c>
      <c r="B51" s="21">
        <v>1255</v>
      </c>
      <c r="C51" s="14">
        <v>0</v>
      </c>
      <c r="D51" s="14">
        <v>145</v>
      </c>
      <c r="E51" s="21">
        <v>2137</v>
      </c>
      <c r="F51" s="14">
        <v>663</v>
      </c>
      <c r="G51" s="21">
        <v>4200</v>
      </c>
      <c r="H51" s="21">
        <v>14157</v>
      </c>
      <c r="I51" s="14">
        <v>0</v>
      </c>
      <c r="J51" s="14">
        <v>139</v>
      </c>
      <c r="K51" s="21">
        <v>14296</v>
      </c>
      <c r="L51" s="14">
        <v>41</v>
      </c>
      <c r="M51" s="14">
        <v>345</v>
      </c>
      <c r="N51" s="16">
        <v>18882</v>
      </c>
    </row>
    <row r="52" spans="1:16" s="2" customFormat="1">
      <c r="A52" s="14" t="s">
        <v>52</v>
      </c>
      <c r="B52" s="14">
        <v>779</v>
      </c>
      <c r="C52" s="14">
        <v>74</v>
      </c>
      <c r="D52" s="14">
        <v>53</v>
      </c>
      <c r="E52" s="21">
        <v>2749</v>
      </c>
      <c r="F52" s="14">
        <v>874</v>
      </c>
      <c r="G52" s="21">
        <v>4529</v>
      </c>
      <c r="H52" s="21">
        <v>19984</v>
      </c>
      <c r="I52" s="14">
        <v>125</v>
      </c>
      <c r="J52" s="14">
        <v>71</v>
      </c>
      <c r="K52" s="21">
        <v>20180</v>
      </c>
      <c r="L52" s="14">
        <v>245</v>
      </c>
      <c r="M52" s="33" t="s">
        <v>69</v>
      </c>
      <c r="N52" s="34" t="s">
        <v>69</v>
      </c>
    </row>
    <row r="53" spans="1:16" s="2" customFormat="1">
      <c r="A53" s="14" t="s">
        <v>64</v>
      </c>
      <c r="B53" s="33" t="s">
        <v>68</v>
      </c>
      <c r="C53" s="33" t="s">
        <v>68</v>
      </c>
      <c r="D53" s="14">
        <v>0</v>
      </c>
      <c r="E53" s="14">
        <v>225</v>
      </c>
      <c r="F53" s="14">
        <v>66</v>
      </c>
      <c r="G53" s="14">
        <v>299</v>
      </c>
      <c r="H53" s="14">
        <v>585</v>
      </c>
      <c r="I53" s="14">
        <v>78</v>
      </c>
      <c r="J53" s="21">
        <v>1175</v>
      </c>
      <c r="K53" s="21">
        <v>1837</v>
      </c>
      <c r="L53" s="14">
        <v>0</v>
      </c>
      <c r="M53" s="33" t="s">
        <v>68</v>
      </c>
      <c r="N53" s="34" t="s">
        <v>69</v>
      </c>
    </row>
    <row r="54" spans="1:16" s="2" customFormat="1">
      <c r="A54" s="15" t="s">
        <v>24</v>
      </c>
      <c r="B54" s="16">
        <v>2605</v>
      </c>
      <c r="C54" s="15">
        <v>117</v>
      </c>
      <c r="D54" s="15">
        <v>258</v>
      </c>
      <c r="E54" s="16">
        <v>6802</v>
      </c>
      <c r="F54" s="16">
        <v>2387</v>
      </c>
      <c r="G54" s="16">
        <v>12169</v>
      </c>
      <c r="H54" s="16">
        <v>44331</v>
      </c>
      <c r="I54" s="15">
        <v>203</v>
      </c>
      <c r="J54" s="16">
        <v>1466</v>
      </c>
      <c r="K54" s="16">
        <v>46001</v>
      </c>
      <c r="L54" s="15">
        <v>286</v>
      </c>
      <c r="M54" s="25">
        <v>538</v>
      </c>
      <c r="N54" s="24">
        <v>58994</v>
      </c>
    </row>
    <row r="55" spans="1:16" s="2" customFormat="1">
      <c r="A55" s="5" t="s">
        <v>53</v>
      </c>
      <c r="B55" s="8"/>
      <c r="C55" s="8"/>
      <c r="D55" s="8"/>
      <c r="E55" s="7"/>
      <c r="F55" s="7"/>
      <c r="G55" s="7"/>
      <c r="H55" s="7"/>
      <c r="I55" s="8"/>
      <c r="J55" s="8"/>
      <c r="K55" s="7"/>
      <c r="L55" s="8"/>
      <c r="M55" s="8"/>
      <c r="N55" s="7"/>
    </row>
    <row r="56" spans="1:16" s="2" customFormat="1">
      <c r="A56" s="14" t="s">
        <v>54</v>
      </c>
      <c r="B56" s="14">
        <v>668</v>
      </c>
      <c r="C56" s="14">
        <v>0</v>
      </c>
      <c r="D56" s="14">
        <v>85</v>
      </c>
      <c r="E56" s="21">
        <v>1252</v>
      </c>
      <c r="F56" s="33" t="s">
        <v>69</v>
      </c>
      <c r="G56" s="35" t="s">
        <v>69</v>
      </c>
      <c r="H56" s="22">
        <v>11995</v>
      </c>
      <c r="I56" s="33" t="s">
        <v>69</v>
      </c>
      <c r="J56" s="23">
        <v>455</v>
      </c>
      <c r="K56" s="35" t="s">
        <v>69</v>
      </c>
      <c r="L56" s="14">
        <v>431</v>
      </c>
      <c r="M56" s="14">
        <v>47</v>
      </c>
      <c r="N56" s="16">
        <v>16216</v>
      </c>
    </row>
    <row r="57" spans="1:16" s="2" customFormat="1">
      <c r="A57" s="14" t="s">
        <v>64</v>
      </c>
      <c r="B57" s="14">
        <v>0</v>
      </c>
      <c r="C57" s="14">
        <v>0</v>
      </c>
      <c r="D57" s="14">
        <v>0</v>
      </c>
      <c r="E57" s="14">
        <v>0</v>
      </c>
      <c r="F57" s="33" t="s">
        <v>68</v>
      </c>
      <c r="G57" s="33" t="s">
        <v>68</v>
      </c>
      <c r="H57" s="14">
        <v>31</v>
      </c>
      <c r="I57" s="33" t="s">
        <v>68</v>
      </c>
      <c r="J57" s="14">
        <v>0</v>
      </c>
      <c r="K57" s="33" t="s">
        <v>69</v>
      </c>
      <c r="L57" s="14">
        <v>0</v>
      </c>
      <c r="M57" s="14">
        <v>0</v>
      </c>
      <c r="N57" s="15">
        <v>40</v>
      </c>
    </row>
    <row r="58" spans="1:16" s="2" customFormat="1">
      <c r="A58" s="15" t="s">
        <v>24</v>
      </c>
      <c r="B58" s="15">
        <v>668</v>
      </c>
      <c r="C58" s="15">
        <v>0</v>
      </c>
      <c r="D58" s="15">
        <v>85</v>
      </c>
      <c r="E58" s="16">
        <v>1252</v>
      </c>
      <c r="F58" s="25">
        <v>782</v>
      </c>
      <c r="G58" s="24">
        <v>2788</v>
      </c>
      <c r="H58" s="16">
        <v>12026</v>
      </c>
      <c r="I58" s="25">
        <v>509</v>
      </c>
      <c r="J58" s="25">
        <v>455</v>
      </c>
      <c r="K58" s="24">
        <v>12991</v>
      </c>
      <c r="L58" s="15">
        <v>431</v>
      </c>
      <c r="M58" s="15">
        <v>47</v>
      </c>
      <c r="N58" s="16">
        <v>16256</v>
      </c>
    </row>
    <row r="59" spans="1:16" s="2" customFormat="1">
      <c r="A59" s="5" t="s">
        <v>55</v>
      </c>
      <c r="B59" s="8"/>
      <c r="C59" s="8"/>
      <c r="D59" s="8"/>
      <c r="E59" s="8"/>
      <c r="F59" s="8"/>
      <c r="G59" s="8"/>
      <c r="H59" s="7"/>
      <c r="I59" s="8"/>
      <c r="J59" s="8"/>
      <c r="K59" s="7"/>
      <c r="L59" s="8"/>
      <c r="M59" s="8"/>
      <c r="N59" s="7"/>
    </row>
    <row r="60" spans="1:16" s="2" customFormat="1">
      <c r="A60" s="30" t="s">
        <v>56</v>
      </c>
      <c r="B60" s="33" t="s">
        <v>68</v>
      </c>
      <c r="C60" s="14">
        <v>0</v>
      </c>
      <c r="D60" s="33" t="s">
        <v>68</v>
      </c>
      <c r="E60" s="14">
        <v>0</v>
      </c>
      <c r="F60" s="33" t="s">
        <v>68</v>
      </c>
      <c r="G60" s="14">
        <v>16</v>
      </c>
      <c r="H60" s="14">
        <v>194</v>
      </c>
      <c r="I60" s="14">
        <v>0</v>
      </c>
      <c r="J60" s="33" t="s">
        <v>68</v>
      </c>
      <c r="K60" s="33" t="s">
        <v>69</v>
      </c>
      <c r="L60" s="23">
        <v>22</v>
      </c>
      <c r="M60" s="14">
        <v>0</v>
      </c>
      <c r="N60" s="36" t="s">
        <v>69</v>
      </c>
    </row>
    <row r="61" spans="1:16" s="2" customFormat="1">
      <c r="A61" s="30" t="s">
        <v>57</v>
      </c>
      <c r="B61" s="33" t="s">
        <v>69</v>
      </c>
      <c r="C61" s="33" t="s">
        <v>68</v>
      </c>
      <c r="D61" s="33" t="s">
        <v>69</v>
      </c>
      <c r="E61" s="14">
        <v>170</v>
      </c>
      <c r="F61" s="14">
        <v>408</v>
      </c>
      <c r="G61" s="14">
        <v>752</v>
      </c>
      <c r="H61" s="21">
        <v>3041</v>
      </c>
      <c r="I61" s="33" t="s">
        <v>69</v>
      </c>
      <c r="J61" s="33" t="s">
        <v>69</v>
      </c>
      <c r="K61" s="21">
        <v>3138</v>
      </c>
      <c r="L61" s="23">
        <v>370</v>
      </c>
      <c r="M61" s="33" t="s">
        <v>68</v>
      </c>
      <c r="N61" s="34" t="s">
        <v>69</v>
      </c>
    </row>
    <row r="62" spans="1:16" s="2" customFormat="1">
      <c r="A62" s="12" t="s">
        <v>24</v>
      </c>
      <c r="B62" s="15">
        <v>143</v>
      </c>
      <c r="C62" s="36" t="s">
        <v>68</v>
      </c>
      <c r="D62" s="15">
        <v>32</v>
      </c>
      <c r="E62" s="15">
        <v>170</v>
      </c>
      <c r="F62" s="36" t="s">
        <v>69</v>
      </c>
      <c r="G62" s="15">
        <v>768</v>
      </c>
      <c r="H62" s="16">
        <v>3235</v>
      </c>
      <c r="I62" s="36" t="s">
        <v>69</v>
      </c>
      <c r="J62" s="25">
        <v>92</v>
      </c>
      <c r="K62" s="34" t="s">
        <v>69</v>
      </c>
      <c r="L62" s="25">
        <v>392</v>
      </c>
      <c r="M62" s="36" t="s">
        <v>68</v>
      </c>
      <c r="N62" s="24">
        <v>4507</v>
      </c>
    </row>
    <row r="63" spans="1:16" s="2" customFormat="1">
      <c r="A63" s="5" t="s">
        <v>58</v>
      </c>
      <c r="B63" s="8"/>
      <c r="C63" s="8"/>
      <c r="D63" s="8"/>
      <c r="E63" s="8"/>
      <c r="F63" s="8"/>
      <c r="G63" s="8"/>
      <c r="H63" s="8"/>
      <c r="I63" s="8"/>
      <c r="J63" s="8"/>
      <c r="K63" s="8"/>
      <c r="L63" s="8"/>
      <c r="M63" s="8"/>
      <c r="N63" s="7"/>
    </row>
    <row r="64" spans="1:16" s="2" customFormat="1">
      <c r="A64" s="14" t="s">
        <v>59</v>
      </c>
      <c r="B64" s="21">
        <v>1804</v>
      </c>
      <c r="C64" s="33" t="s">
        <v>68</v>
      </c>
      <c r="D64" s="14">
        <v>93</v>
      </c>
      <c r="E64" s="21">
        <v>1896</v>
      </c>
      <c r="F64" s="33" t="s">
        <v>69</v>
      </c>
      <c r="G64" s="21">
        <v>4680</v>
      </c>
      <c r="H64" s="21">
        <v>8573</v>
      </c>
      <c r="I64" s="14">
        <v>27</v>
      </c>
      <c r="J64" s="14">
        <v>67</v>
      </c>
      <c r="K64" s="21">
        <v>8667</v>
      </c>
      <c r="L64" s="14">
        <v>51</v>
      </c>
      <c r="M64" s="14">
        <v>126</v>
      </c>
      <c r="N64" s="16">
        <v>13524</v>
      </c>
    </row>
    <row r="65" spans="1:14" s="2" customFormat="1">
      <c r="A65" s="14" t="s">
        <v>60</v>
      </c>
      <c r="B65" s="14">
        <v>228</v>
      </c>
      <c r="C65" s="33" t="s">
        <v>68</v>
      </c>
      <c r="D65" s="14">
        <v>29</v>
      </c>
      <c r="E65" s="21">
        <v>1299</v>
      </c>
      <c r="F65" s="33" t="s">
        <v>69</v>
      </c>
      <c r="G65" s="22">
        <v>1988</v>
      </c>
      <c r="H65" s="21">
        <v>7213</v>
      </c>
      <c r="I65" s="33" t="s">
        <v>68</v>
      </c>
      <c r="J65" s="23">
        <v>431</v>
      </c>
      <c r="K65" s="35" t="s">
        <v>69</v>
      </c>
      <c r="L65" s="14">
        <v>168</v>
      </c>
      <c r="M65" s="33" t="s">
        <v>69</v>
      </c>
      <c r="N65" s="16">
        <v>9855</v>
      </c>
    </row>
    <row r="66" spans="1:14" s="2" customFormat="1">
      <c r="A66" s="14" t="s">
        <v>64</v>
      </c>
      <c r="B66" s="14">
        <v>0</v>
      </c>
      <c r="C66" s="14">
        <v>0</v>
      </c>
      <c r="D66" s="14">
        <v>0</v>
      </c>
      <c r="E66" s="14">
        <v>0</v>
      </c>
      <c r="F66" s="14">
        <v>0</v>
      </c>
      <c r="G66" s="23">
        <v>0</v>
      </c>
      <c r="H66" s="14">
        <v>37</v>
      </c>
      <c r="I66" s="14">
        <v>0</v>
      </c>
      <c r="J66" s="23">
        <v>0</v>
      </c>
      <c r="K66" s="14">
        <v>37</v>
      </c>
      <c r="L66" s="14">
        <v>0</v>
      </c>
      <c r="M66" s="14">
        <v>0</v>
      </c>
      <c r="N66" s="15">
        <v>37</v>
      </c>
    </row>
    <row r="67" spans="1:14" s="2" customFormat="1">
      <c r="A67" s="15" t="s">
        <v>24</v>
      </c>
      <c r="B67" s="16">
        <v>2032</v>
      </c>
      <c r="C67" s="36" t="s">
        <v>68</v>
      </c>
      <c r="D67" s="15">
        <v>122</v>
      </c>
      <c r="E67" s="16">
        <v>3195</v>
      </c>
      <c r="F67" s="34" t="s">
        <v>69</v>
      </c>
      <c r="G67" s="24">
        <v>6667</v>
      </c>
      <c r="H67" s="16">
        <v>15823</v>
      </c>
      <c r="I67" s="36" t="s">
        <v>69</v>
      </c>
      <c r="J67" s="25">
        <v>498</v>
      </c>
      <c r="K67" s="34" t="s">
        <v>69</v>
      </c>
      <c r="L67" s="15">
        <v>219</v>
      </c>
      <c r="M67" s="36" t="s">
        <v>69</v>
      </c>
      <c r="N67" s="16">
        <v>23415</v>
      </c>
    </row>
    <row r="68" spans="1:14" s="2" customFormat="1">
      <c r="A68" s="5" t="s">
        <v>61</v>
      </c>
      <c r="B68" s="8"/>
      <c r="C68" s="8"/>
      <c r="D68" s="8"/>
      <c r="E68" s="7"/>
      <c r="F68" s="8"/>
      <c r="G68" s="7"/>
      <c r="H68" s="7"/>
      <c r="I68" s="8"/>
      <c r="J68" s="8"/>
      <c r="K68" s="7"/>
      <c r="L68" s="8"/>
      <c r="M68" s="8"/>
      <c r="N68" s="7"/>
    </row>
    <row r="69" spans="1:14" s="2" customFormat="1">
      <c r="A69" s="14" t="s">
        <v>62</v>
      </c>
      <c r="B69" s="14">
        <v>161</v>
      </c>
      <c r="C69" s="33" t="s">
        <v>68</v>
      </c>
      <c r="D69" s="33" t="s">
        <v>69</v>
      </c>
      <c r="E69" s="14">
        <v>978</v>
      </c>
      <c r="F69" s="21">
        <v>1007</v>
      </c>
      <c r="G69" s="21">
        <v>2193</v>
      </c>
      <c r="H69" s="21">
        <v>11885</v>
      </c>
      <c r="I69" s="14">
        <v>167</v>
      </c>
      <c r="J69" s="14">
        <v>286</v>
      </c>
      <c r="K69" s="21">
        <v>12339</v>
      </c>
      <c r="L69" s="14">
        <v>0</v>
      </c>
      <c r="M69" s="14">
        <v>190</v>
      </c>
      <c r="N69" s="16">
        <v>14722</v>
      </c>
    </row>
    <row r="70" spans="1:14" s="2" customFormat="1">
      <c r="A70" s="14" t="s">
        <v>64</v>
      </c>
      <c r="B70" s="14">
        <v>11</v>
      </c>
      <c r="C70" s="33" t="s">
        <v>69</v>
      </c>
      <c r="D70" s="33" t="s">
        <v>69</v>
      </c>
      <c r="E70" s="14">
        <v>393</v>
      </c>
      <c r="F70" s="14">
        <v>216</v>
      </c>
      <c r="G70" s="14">
        <v>655</v>
      </c>
      <c r="H70" s="14">
        <v>434</v>
      </c>
      <c r="I70" s="14">
        <v>37</v>
      </c>
      <c r="J70" s="14">
        <v>256</v>
      </c>
      <c r="K70" s="14">
        <v>727</v>
      </c>
      <c r="L70" s="14">
        <v>0</v>
      </c>
      <c r="M70" s="14">
        <v>0</v>
      </c>
      <c r="N70" s="16">
        <v>1382</v>
      </c>
    </row>
    <row r="71" spans="1:14" s="2" customFormat="1">
      <c r="A71" s="15" t="s">
        <v>24</v>
      </c>
      <c r="B71" s="15">
        <v>172</v>
      </c>
      <c r="C71" s="15">
        <v>29</v>
      </c>
      <c r="D71" s="15">
        <v>54</v>
      </c>
      <c r="E71" s="16">
        <v>1371</v>
      </c>
      <c r="F71" s="16">
        <v>1223</v>
      </c>
      <c r="G71" s="16">
        <v>2849</v>
      </c>
      <c r="H71" s="16">
        <v>12319</v>
      </c>
      <c r="I71" s="15">
        <v>204</v>
      </c>
      <c r="J71" s="15">
        <v>542</v>
      </c>
      <c r="K71" s="16">
        <v>13065</v>
      </c>
      <c r="L71" s="15">
        <v>0</v>
      </c>
      <c r="M71" s="15">
        <v>190</v>
      </c>
      <c r="N71" s="16">
        <v>16104</v>
      </c>
    </row>
    <row r="72" spans="1:14" s="2" customFormat="1">
      <c r="A72" s="5"/>
      <c r="B72" s="8"/>
      <c r="C72" s="8"/>
      <c r="D72" s="8"/>
      <c r="E72" s="7"/>
      <c r="F72" s="8"/>
      <c r="G72" s="7"/>
      <c r="H72" s="7"/>
      <c r="I72" s="8"/>
      <c r="J72" s="8"/>
      <c r="K72" s="7"/>
      <c r="L72" s="8"/>
      <c r="M72" s="8"/>
      <c r="N72" s="7"/>
    </row>
    <row r="73" spans="1:14" s="2" customFormat="1">
      <c r="A73" s="10" t="s">
        <v>10</v>
      </c>
      <c r="B73" s="17">
        <v>34286</v>
      </c>
      <c r="C73" s="18">
        <v>910</v>
      </c>
      <c r="D73" s="17">
        <v>5194</v>
      </c>
      <c r="E73" s="17">
        <v>104379</v>
      </c>
      <c r="F73" s="17">
        <v>34935</v>
      </c>
      <c r="G73" s="17">
        <v>179704</v>
      </c>
      <c r="H73" s="17">
        <v>634179</v>
      </c>
      <c r="I73" s="17">
        <v>6640</v>
      </c>
      <c r="J73" s="17">
        <v>23294</v>
      </c>
      <c r="K73" s="17">
        <v>664113</v>
      </c>
      <c r="L73" s="17">
        <v>9205</v>
      </c>
      <c r="M73" s="17">
        <v>8436</v>
      </c>
      <c r="N73" s="17">
        <v>861459</v>
      </c>
    </row>
    <row r="74" spans="1:14" s="2" customFormat="1">
      <c r="A74" s="30" t="s">
        <v>65</v>
      </c>
      <c r="B74" s="19">
        <v>31795</v>
      </c>
      <c r="C74" s="20">
        <v>899</v>
      </c>
      <c r="D74" s="19">
        <v>4870</v>
      </c>
      <c r="E74" s="19">
        <v>98949</v>
      </c>
      <c r="F74" s="19">
        <v>34204</v>
      </c>
      <c r="G74" s="19">
        <v>170717</v>
      </c>
      <c r="H74" s="19">
        <v>598245</v>
      </c>
      <c r="I74" s="19">
        <v>5207</v>
      </c>
      <c r="J74" s="19">
        <v>22380</v>
      </c>
      <c r="K74" s="19">
        <v>625832</v>
      </c>
      <c r="L74" s="19">
        <v>7707</v>
      </c>
      <c r="M74" s="19">
        <v>8793</v>
      </c>
      <c r="N74" s="19">
        <v>813049</v>
      </c>
    </row>
    <row r="75" spans="1:14" s="2" customFormat="1">
      <c r="A75" s="31" t="s">
        <v>66</v>
      </c>
      <c r="B75" s="9">
        <v>7.8345651832049071E-2</v>
      </c>
      <c r="C75" s="9">
        <v>1.2235817575083427E-2</v>
      </c>
      <c r="D75" s="9">
        <v>6.6529774127310065E-2</v>
      </c>
      <c r="E75" s="9">
        <v>5.4876754691810935E-2</v>
      </c>
      <c r="F75" s="9">
        <v>2.1371769383697812E-2</v>
      </c>
      <c r="G75" s="9">
        <v>5.2642677647803088E-2</v>
      </c>
      <c r="H75" s="9">
        <v>6.00656921495374E-2</v>
      </c>
      <c r="I75" s="9">
        <v>0.27520645285193007</v>
      </c>
      <c r="J75" s="9">
        <v>4.0840035746201965E-2</v>
      </c>
      <c r="K75" s="9">
        <v>6.1168172928197984E-2</v>
      </c>
      <c r="L75" s="9">
        <v>0.1943687556766576</v>
      </c>
      <c r="M75" s="9">
        <v>-4.0600477652678268E-2</v>
      </c>
      <c r="N75" s="9">
        <v>5.9541306858504221E-2</v>
      </c>
    </row>
    <row r="77" spans="1:14">
      <c r="A77" t="s">
        <v>72</v>
      </c>
    </row>
    <row r="78" spans="1:14">
      <c r="A78" s="27" t="s">
        <v>73</v>
      </c>
    </row>
    <row r="79" spans="1:14">
      <c r="A79" s="26" t="s">
        <v>70</v>
      </c>
    </row>
  </sheetData>
  <mergeCells count="1">
    <mergeCell ref="A2:N2"/>
  </mergeCells>
  <phoneticPr fontId="6" type="noConversion"/>
  <hyperlinks>
    <hyperlink ref="A1" location="Index!A1" display="&lt; Back to Index &gt;" xr:uid="{00000000-0004-0000-0200-000000000000}"/>
    <hyperlink ref="A78" r:id="rId1" xr:uid="{00000000-0004-0000-0200-000001000000}"/>
    <hyperlink ref="B1" location="'Ave weight 1996-2013'!A1" display="Ave weight 1996-2013" xr:uid="{00000000-0004-0000-0200-000002000000}"/>
  </hyperlinks>
  <pageMargins left="0.39370078740157483" right="0.31496062992125984" top="0.59055118110236227" bottom="0.39370078740157483" header="0" footer="0"/>
  <pageSetup scale="64" orientation="landscape" r:id="rId2"/>
  <headerFooter alignWithMargins="0"/>
  <rowBreaks count="1" manualBreakCount="1">
    <brk id="40" max="13" man="1"/>
  </rowBreak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zoomScale="80" zoomScaleNormal="80" workbookViewId="0">
      <selection activeCell="B1" sqref="B1"/>
    </sheetView>
  </sheetViews>
  <sheetFormatPr defaultColWidth="9.140625" defaultRowHeight="12.75"/>
  <cols>
    <col min="1" max="1" width="4.140625" style="38" customWidth="1"/>
    <col min="2" max="2" width="37" style="38" customWidth="1"/>
    <col min="3" max="3" width="33.42578125" style="38" bestFit="1" customWidth="1"/>
    <col min="4" max="4" width="9.42578125" style="38" customWidth="1"/>
    <col min="5" max="11" width="10" style="38" bestFit="1" customWidth="1"/>
    <col min="12" max="16384" width="9.140625" style="38"/>
  </cols>
  <sheetData>
    <row r="1" spans="2:21">
      <c r="B1" s="187" t="s">
        <v>286</v>
      </c>
      <c r="C1" s="523" t="s">
        <v>304</v>
      </c>
    </row>
    <row r="2" spans="2:21" ht="15">
      <c r="B2" s="39" t="s">
        <v>107</v>
      </c>
    </row>
    <row r="3" spans="2:21" ht="13.5" thickBot="1">
      <c r="C3" s="40"/>
      <c r="D3" s="721" t="s">
        <v>108</v>
      </c>
      <c r="E3" s="722"/>
      <c r="F3" s="722"/>
      <c r="G3" s="723"/>
      <c r="H3" s="721" t="s">
        <v>109</v>
      </c>
      <c r="I3" s="722"/>
      <c r="J3" s="722"/>
      <c r="K3" s="723"/>
    </row>
    <row r="4" spans="2:21">
      <c r="B4" s="41" t="s">
        <v>110</v>
      </c>
      <c r="C4" s="42" t="s">
        <v>111</v>
      </c>
      <c r="D4" s="43">
        <v>2008</v>
      </c>
      <c r="E4" s="44">
        <v>2009</v>
      </c>
      <c r="F4" s="44">
        <v>2010</v>
      </c>
      <c r="G4" s="45">
        <v>2011</v>
      </c>
      <c r="H4" s="44">
        <v>2008</v>
      </c>
      <c r="I4" s="44">
        <v>2009</v>
      </c>
      <c r="J4" s="44">
        <v>2010</v>
      </c>
      <c r="K4" s="45">
        <v>2011</v>
      </c>
    </row>
    <row r="5" spans="2:21">
      <c r="B5" s="46" t="s">
        <v>112</v>
      </c>
      <c r="C5" s="40" t="s">
        <v>113</v>
      </c>
      <c r="D5" s="47">
        <v>395</v>
      </c>
      <c r="E5" s="48">
        <v>379</v>
      </c>
      <c r="F5" s="48">
        <v>370</v>
      </c>
      <c r="G5" s="49">
        <v>365</v>
      </c>
      <c r="H5" s="48">
        <v>348.48229999999899</v>
      </c>
      <c r="I5" s="50">
        <v>339.4171</v>
      </c>
      <c r="J5" s="50">
        <v>318.25</v>
      </c>
      <c r="K5" s="49">
        <v>318.5</v>
      </c>
      <c r="S5" s="51"/>
      <c r="T5" s="51"/>
      <c r="U5" s="51"/>
    </row>
    <row r="6" spans="2:21">
      <c r="B6" s="46"/>
      <c r="C6" s="40" t="s">
        <v>114</v>
      </c>
      <c r="D6" s="52">
        <v>25933</v>
      </c>
      <c r="E6" s="48">
        <v>26539</v>
      </c>
      <c r="F6" s="48">
        <v>27081</v>
      </c>
      <c r="G6" s="49">
        <v>26794</v>
      </c>
      <c r="H6" s="48">
        <v>21488.9152999982</v>
      </c>
      <c r="I6" s="50">
        <v>22350.535800000001</v>
      </c>
      <c r="J6" s="50">
        <v>22933.2657999978</v>
      </c>
      <c r="K6" s="49">
        <v>22712.618999998202</v>
      </c>
      <c r="S6" s="51"/>
      <c r="T6" s="51"/>
      <c r="U6" s="51"/>
    </row>
    <row r="7" spans="2:21">
      <c r="B7" s="46"/>
      <c r="C7" s="40" t="s">
        <v>115</v>
      </c>
      <c r="D7" s="52">
        <v>7235</v>
      </c>
      <c r="E7" s="48">
        <v>7774</v>
      </c>
      <c r="F7" s="48">
        <v>7817</v>
      </c>
      <c r="G7" s="49">
        <v>7134</v>
      </c>
      <c r="H7" s="48">
        <v>3472.23449999988</v>
      </c>
      <c r="I7" s="50">
        <v>3869.1259999998301</v>
      </c>
      <c r="J7" s="50">
        <v>3875.9870999997902</v>
      </c>
      <c r="K7" s="49">
        <v>3488.2510999999199</v>
      </c>
      <c r="S7" s="51"/>
      <c r="T7" s="51"/>
      <c r="U7" s="51"/>
    </row>
    <row r="8" spans="2:21">
      <c r="B8" s="46"/>
      <c r="C8" s="40" t="s">
        <v>116</v>
      </c>
      <c r="D8" s="52">
        <v>2363</v>
      </c>
      <c r="E8" s="48">
        <v>2552</v>
      </c>
      <c r="F8" s="48">
        <v>2899</v>
      </c>
      <c r="G8" s="49">
        <v>3140</v>
      </c>
      <c r="H8" s="48">
        <v>1687.9936</v>
      </c>
      <c r="I8" s="50">
        <v>1903.5640000000001</v>
      </c>
      <c r="J8" s="50">
        <v>2095.1419000000001</v>
      </c>
      <c r="K8" s="49">
        <v>2252.6563999999998</v>
      </c>
      <c r="S8" s="51"/>
      <c r="T8" s="51"/>
      <c r="U8" s="51"/>
    </row>
    <row r="9" spans="2:21">
      <c r="B9" s="46"/>
      <c r="C9" s="40" t="s">
        <v>117</v>
      </c>
      <c r="D9" s="52">
        <v>99</v>
      </c>
      <c r="E9" s="48">
        <v>121</v>
      </c>
      <c r="F9" s="48">
        <v>97</v>
      </c>
      <c r="G9" s="49">
        <v>131</v>
      </c>
      <c r="H9" s="48">
        <v>68.522099999999995</v>
      </c>
      <c r="I9" s="50">
        <v>83.084699999999998</v>
      </c>
      <c r="J9" s="50">
        <v>76.167699999999996</v>
      </c>
      <c r="K9" s="49">
        <v>92.624899999999997</v>
      </c>
      <c r="S9" s="51"/>
      <c r="T9" s="51"/>
      <c r="U9" s="51"/>
    </row>
    <row r="10" spans="2:21">
      <c r="B10" s="46"/>
      <c r="C10" s="40" t="s">
        <v>118</v>
      </c>
      <c r="D10" s="52">
        <v>3958</v>
      </c>
      <c r="E10" s="48">
        <v>3959</v>
      </c>
      <c r="F10" s="48">
        <v>4299</v>
      </c>
      <c r="G10" s="49">
        <v>4404</v>
      </c>
      <c r="H10" s="48">
        <v>3009.5028999999499</v>
      </c>
      <c r="I10" s="50">
        <v>3034.98919999996</v>
      </c>
      <c r="J10" s="50">
        <v>3245.85789999995</v>
      </c>
      <c r="K10" s="49">
        <v>3257.2077999999501</v>
      </c>
      <c r="S10" s="51"/>
      <c r="T10" s="51"/>
      <c r="U10" s="51"/>
    </row>
    <row r="11" spans="2:21">
      <c r="B11" s="41"/>
      <c r="C11" s="42" t="s">
        <v>119</v>
      </c>
      <c r="D11" s="53">
        <v>38551</v>
      </c>
      <c r="E11" s="54">
        <v>39938</v>
      </c>
      <c r="F11" s="54">
        <v>40975</v>
      </c>
      <c r="G11" s="55">
        <v>40380</v>
      </c>
      <c r="H11" s="54">
        <v>30075.650699993199</v>
      </c>
      <c r="I11" s="54">
        <v>31580.7167999966</v>
      </c>
      <c r="J11" s="54">
        <v>32544.670399995801</v>
      </c>
      <c r="K11" s="55">
        <v>32121.859199996499</v>
      </c>
      <c r="S11" s="51"/>
      <c r="T11" s="51"/>
      <c r="U11" s="51"/>
    </row>
    <row r="12" spans="2:21">
      <c r="B12" s="46" t="s">
        <v>120</v>
      </c>
      <c r="C12" s="40" t="s">
        <v>113</v>
      </c>
      <c r="D12" s="52">
        <v>351</v>
      </c>
      <c r="E12" s="48">
        <v>543</v>
      </c>
      <c r="F12" s="48">
        <v>93</v>
      </c>
      <c r="G12" s="49"/>
      <c r="H12" s="48">
        <v>190.89000000000101</v>
      </c>
      <c r="I12" s="50">
        <v>292.270000000001</v>
      </c>
      <c r="J12" s="50">
        <v>38.299999999999997</v>
      </c>
      <c r="K12" s="59"/>
      <c r="S12" s="51"/>
      <c r="T12" s="51"/>
      <c r="U12" s="51"/>
    </row>
    <row r="13" spans="2:21">
      <c r="B13" s="46"/>
      <c r="C13" s="40" t="s">
        <v>114</v>
      </c>
      <c r="D13" s="52">
        <v>7697</v>
      </c>
      <c r="E13" s="48">
        <v>8503</v>
      </c>
      <c r="F13" s="48">
        <v>8342</v>
      </c>
      <c r="G13" s="49">
        <v>8472</v>
      </c>
      <c r="H13" s="48">
        <v>6275.7165000012501</v>
      </c>
      <c r="I13" s="50">
        <v>6907.9966999998696</v>
      </c>
      <c r="J13" s="50">
        <v>6971.3309000010104</v>
      </c>
      <c r="K13" s="49">
        <v>7129.6230000003998</v>
      </c>
      <c r="S13" s="51"/>
      <c r="T13" s="51"/>
      <c r="U13" s="51"/>
    </row>
    <row r="14" spans="2:21">
      <c r="B14" s="46"/>
      <c r="C14" s="40" t="s">
        <v>115</v>
      </c>
      <c r="D14" s="52">
        <v>1920</v>
      </c>
      <c r="E14" s="48">
        <v>1962</v>
      </c>
      <c r="F14" s="48">
        <v>1921</v>
      </c>
      <c r="G14" s="49">
        <v>1894</v>
      </c>
      <c r="H14" s="48">
        <v>894.38570000000004</v>
      </c>
      <c r="I14" s="50">
        <v>954.43489999999701</v>
      </c>
      <c r="J14" s="50">
        <v>943.553799999999</v>
      </c>
      <c r="K14" s="49">
        <v>910.42650000000003</v>
      </c>
      <c r="S14" s="51"/>
      <c r="T14" s="51"/>
      <c r="U14" s="51"/>
    </row>
    <row r="15" spans="2:21">
      <c r="B15" s="46"/>
      <c r="C15" s="40" t="s">
        <v>116</v>
      </c>
      <c r="D15" s="52">
        <v>833</v>
      </c>
      <c r="E15" s="48">
        <v>874</v>
      </c>
      <c r="F15" s="48">
        <v>973</v>
      </c>
      <c r="G15" s="49">
        <v>977</v>
      </c>
      <c r="H15" s="48">
        <v>518.90880000000095</v>
      </c>
      <c r="I15" s="50">
        <v>554.03380000000095</v>
      </c>
      <c r="J15" s="50">
        <v>608.36879999999803</v>
      </c>
      <c r="K15" s="49">
        <v>626.89619999999798</v>
      </c>
      <c r="S15" s="51"/>
      <c r="T15" s="51"/>
      <c r="U15" s="51"/>
    </row>
    <row r="16" spans="2:21">
      <c r="B16" s="46"/>
      <c r="C16" s="40" t="s">
        <v>117</v>
      </c>
      <c r="D16" s="52">
        <v>45</v>
      </c>
      <c r="E16" s="48">
        <v>44</v>
      </c>
      <c r="F16" s="48">
        <v>45</v>
      </c>
      <c r="G16" s="49">
        <v>62</v>
      </c>
      <c r="H16" s="48">
        <v>20.761600000000001</v>
      </c>
      <c r="I16" s="50">
        <v>23.09</v>
      </c>
      <c r="J16" s="50">
        <v>21.744599999999998</v>
      </c>
      <c r="K16" s="49">
        <v>38.905099999999997</v>
      </c>
      <c r="S16" s="51"/>
      <c r="T16" s="51"/>
      <c r="U16" s="51"/>
    </row>
    <row r="17" spans="2:21">
      <c r="B17" s="46"/>
      <c r="C17" s="40" t="s">
        <v>118</v>
      </c>
      <c r="D17" s="52">
        <v>1904</v>
      </c>
      <c r="E17" s="48">
        <v>1978</v>
      </c>
      <c r="F17" s="48">
        <v>1974</v>
      </c>
      <c r="G17" s="49">
        <v>1938</v>
      </c>
      <c r="H17" s="48">
        <v>1419.18749999994</v>
      </c>
      <c r="I17" s="50">
        <v>1498.2818999999599</v>
      </c>
      <c r="J17" s="50">
        <v>1488.28789999994</v>
      </c>
      <c r="K17" s="49">
        <v>1398.35229999995</v>
      </c>
      <c r="S17" s="51"/>
      <c r="T17" s="51"/>
      <c r="U17" s="51"/>
    </row>
    <row r="18" spans="2:21">
      <c r="B18" s="41"/>
      <c r="C18" s="42" t="s">
        <v>119</v>
      </c>
      <c r="D18" s="53">
        <v>12184</v>
      </c>
      <c r="E18" s="54">
        <v>13224</v>
      </c>
      <c r="F18" s="54">
        <v>12841</v>
      </c>
      <c r="G18" s="55">
        <v>12821</v>
      </c>
      <c r="H18" s="54">
        <v>9319.8500999976404</v>
      </c>
      <c r="I18" s="54">
        <v>10230.107299999199</v>
      </c>
      <c r="J18" s="54">
        <v>10071.585999999301</v>
      </c>
      <c r="K18" s="55">
        <v>10104.2030999975</v>
      </c>
      <c r="S18" s="51"/>
      <c r="T18" s="51"/>
      <c r="U18" s="51"/>
    </row>
    <row r="19" spans="2:21">
      <c r="B19" s="46" t="s">
        <v>121</v>
      </c>
      <c r="C19" s="40" t="s">
        <v>113</v>
      </c>
      <c r="D19" s="52">
        <v>963</v>
      </c>
      <c r="E19" s="48">
        <v>1100</v>
      </c>
      <c r="F19" s="48">
        <v>1055</v>
      </c>
      <c r="G19" s="49">
        <v>432</v>
      </c>
      <c r="H19" s="48">
        <v>421.80650000000003</v>
      </c>
      <c r="I19" s="50">
        <v>499.460699999996</v>
      </c>
      <c r="J19" s="50">
        <v>496.07619999999599</v>
      </c>
      <c r="K19" s="49">
        <v>147.4691</v>
      </c>
      <c r="S19" s="51"/>
      <c r="T19" s="51"/>
      <c r="U19" s="51"/>
    </row>
    <row r="20" spans="2:21">
      <c r="B20" s="46"/>
      <c r="C20" s="40" t="s">
        <v>114</v>
      </c>
      <c r="D20" s="52">
        <v>23833</v>
      </c>
      <c r="E20" s="48">
        <v>25550</v>
      </c>
      <c r="F20" s="48">
        <v>24611</v>
      </c>
      <c r="G20" s="49">
        <v>23632</v>
      </c>
      <c r="H20" s="48">
        <v>12591.2993999997</v>
      </c>
      <c r="I20" s="50">
        <v>13700.747300000499</v>
      </c>
      <c r="J20" s="50">
        <v>13966.7330000006</v>
      </c>
      <c r="K20" s="49">
        <v>13559.041999999299</v>
      </c>
      <c r="S20" s="51"/>
      <c r="T20" s="51"/>
      <c r="U20" s="51"/>
    </row>
    <row r="21" spans="2:21">
      <c r="B21" s="46"/>
      <c r="C21" s="40" t="s">
        <v>115</v>
      </c>
      <c r="D21" s="52">
        <v>4715</v>
      </c>
      <c r="E21" s="48">
        <v>4924</v>
      </c>
      <c r="F21" s="48">
        <v>4950</v>
      </c>
      <c r="G21" s="49">
        <v>4818</v>
      </c>
      <c r="H21" s="48">
        <v>1938.51889999999</v>
      </c>
      <c r="I21" s="50">
        <v>2098.7396999999901</v>
      </c>
      <c r="J21" s="50">
        <v>2150.6601999999898</v>
      </c>
      <c r="K21" s="49">
        <v>1968.7378999999901</v>
      </c>
      <c r="S21" s="51"/>
      <c r="T21" s="51"/>
      <c r="U21" s="51"/>
    </row>
    <row r="22" spans="2:21">
      <c r="B22" s="46"/>
      <c r="C22" s="40" t="s">
        <v>116</v>
      </c>
      <c r="D22" s="52">
        <v>1808</v>
      </c>
      <c r="E22" s="48">
        <v>1965</v>
      </c>
      <c r="F22" s="48">
        <v>1907</v>
      </c>
      <c r="G22" s="49">
        <v>2051</v>
      </c>
      <c r="H22" s="48">
        <v>1305.5735</v>
      </c>
      <c r="I22" s="50">
        <v>1391.2743</v>
      </c>
      <c r="J22" s="50">
        <v>1359.3354999999999</v>
      </c>
      <c r="K22" s="49">
        <v>1451.63589999999</v>
      </c>
      <c r="S22" s="51"/>
      <c r="T22" s="51"/>
      <c r="U22" s="51"/>
    </row>
    <row r="23" spans="2:21">
      <c r="B23" s="46"/>
      <c r="C23" s="40" t="s">
        <v>117</v>
      </c>
      <c r="D23" s="52">
        <v>165</v>
      </c>
      <c r="E23" s="48">
        <v>150</v>
      </c>
      <c r="F23" s="48">
        <v>133</v>
      </c>
      <c r="G23" s="49">
        <v>121</v>
      </c>
      <c r="H23" s="48">
        <v>101.4473</v>
      </c>
      <c r="I23" s="50">
        <v>64.973400000000098</v>
      </c>
      <c r="J23" s="50">
        <v>63.518400000000099</v>
      </c>
      <c r="K23" s="49">
        <v>56.083199999999998</v>
      </c>
      <c r="S23" s="51"/>
      <c r="T23" s="51"/>
      <c r="U23" s="51"/>
    </row>
    <row r="24" spans="2:21">
      <c r="B24" s="46"/>
      <c r="C24" s="40" t="s">
        <v>118</v>
      </c>
      <c r="D24" s="52">
        <v>2917</v>
      </c>
      <c r="E24" s="48">
        <v>2854</v>
      </c>
      <c r="F24" s="48">
        <v>2665</v>
      </c>
      <c r="G24" s="49">
        <v>2898</v>
      </c>
      <c r="H24" s="48">
        <v>2092.6608999999999</v>
      </c>
      <c r="I24" s="50">
        <v>2040.4858000000399</v>
      </c>
      <c r="J24" s="50">
        <v>1896.4609000000501</v>
      </c>
      <c r="K24" s="49">
        <v>2054.6609000000799</v>
      </c>
      <c r="S24" s="51"/>
      <c r="T24" s="51"/>
      <c r="U24" s="51"/>
    </row>
    <row r="25" spans="2:21">
      <c r="B25" s="41"/>
      <c r="C25" s="42" t="s">
        <v>119</v>
      </c>
      <c r="D25" s="53">
        <v>33624</v>
      </c>
      <c r="E25" s="54">
        <v>35612</v>
      </c>
      <c r="F25" s="54">
        <v>34427</v>
      </c>
      <c r="G25" s="55">
        <v>33216</v>
      </c>
      <c r="H25" s="54">
        <v>18451.3064999997</v>
      </c>
      <c r="I25" s="54">
        <v>19795.681199999199</v>
      </c>
      <c r="J25" s="54">
        <v>19932.784200000599</v>
      </c>
      <c r="K25" s="55">
        <v>19237.6289999988</v>
      </c>
      <c r="S25" s="51"/>
      <c r="T25" s="51"/>
      <c r="U25" s="51"/>
    </row>
    <row r="26" spans="2:21">
      <c r="B26" s="46" t="s">
        <v>122</v>
      </c>
      <c r="C26" s="40" t="s">
        <v>113</v>
      </c>
      <c r="D26" s="52">
        <v>472</v>
      </c>
      <c r="E26" s="48">
        <v>507</v>
      </c>
      <c r="F26" s="48">
        <v>399</v>
      </c>
      <c r="G26" s="49">
        <v>373</v>
      </c>
      <c r="H26" s="48">
        <v>213.79230000000101</v>
      </c>
      <c r="I26" s="50">
        <v>228.65639999999999</v>
      </c>
      <c r="J26" s="50">
        <v>169.79259999999999</v>
      </c>
      <c r="K26" s="49">
        <v>147.058400000001</v>
      </c>
      <c r="S26" s="51"/>
      <c r="T26" s="51"/>
      <c r="U26" s="51"/>
    </row>
    <row r="27" spans="2:21">
      <c r="B27" s="46"/>
      <c r="C27" s="40" t="s">
        <v>114</v>
      </c>
      <c r="D27" s="52">
        <v>15769</v>
      </c>
      <c r="E27" s="48">
        <v>16588</v>
      </c>
      <c r="F27" s="48">
        <v>16431</v>
      </c>
      <c r="G27" s="49">
        <v>15905</v>
      </c>
      <c r="H27" s="48">
        <v>12664.288999999901</v>
      </c>
      <c r="I27" s="50">
        <v>13315.0590000006</v>
      </c>
      <c r="J27" s="50">
        <v>13462.286299999099</v>
      </c>
      <c r="K27" s="49">
        <v>12976.911399996099</v>
      </c>
      <c r="S27" s="51"/>
      <c r="T27" s="51"/>
      <c r="U27" s="51"/>
    </row>
    <row r="28" spans="2:21">
      <c r="B28" s="46"/>
      <c r="C28" s="40" t="s">
        <v>115</v>
      </c>
      <c r="D28" s="52">
        <v>3035</v>
      </c>
      <c r="E28" s="48">
        <v>3235</v>
      </c>
      <c r="F28" s="48">
        <v>3153</v>
      </c>
      <c r="G28" s="49">
        <v>2872</v>
      </c>
      <c r="H28" s="48">
        <v>1396.50269999999</v>
      </c>
      <c r="I28" s="50">
        <v>1529.4014999999999</v>
      </c>
      <c r="J28" s="50">
        <v>1448.1894</v>
      </c>
      <c r="K28" s="49">
        <v>1354.8851999999899</v>
      </c>
      <c r="S28" s="51"/>
      <c r="T28" s="51"/>
      <c r="U28" s="51"/>
    </row>
    <row r="29" spans="2:21">
      <c r="B29" s="46"/>
      <c r="C29" s="40" t="s">
        <v>116</v>
      </c>
      <c r="D29" s="52">
        <v>1159</v>
      </c>
      <c r="E29" s="48">
        <v>1283</v>
      </c>
      <c r="F29" s="48">
        <v>1586</v>
      </c>
      <c r="G29" s="49">
        <v>1812</v>
      </c>
      <c r="H29" s="48">
        <v>1060.3318999999999</v>
      </c>
      <c r="I29" s="50">
        <v>1174.8326999999999</v>
      </c>
      <c r="J29" s="50">
        <v>1060.8163</v>
      </c>
      <c r="K29" s="49">
        <v>1149.1550999999899</v>
      </c>
      <c r="S29" s="51"/>
      <c r="T29" s="51"/>
      <c r="U29" s="51"/>
    </row>
    <row r="30" spans="2:21">
      <c r="B30" s="46"/>
      <c r="C30" s="40" t="s">
        <v>117</v>
      </c>
      <c r="D30" s="52">
        <v>38</v>
      </c>
      <c r="E30" s="48">
        <v>46</v>
      </c>
      <c r="F30" s="48">
        <v>57</v>
      </c>
      <c r="G30" s="49">
        <v>69</v>
      </c>
      <c r="H30" s="48">
        <v>27.001100000000001</v>
      </c>
      <c r="I30" s="50">
        <v>40.2761</v>
      </c>
      <c r="J30" s="50">
        <v>26.162099999999999</v>
      </c>
      <c r="K30" s="49">
        <v>38.015500000000003</v>
      </c>
      <c r="S30" s="51"/>
      <c r="T30" s="51"/>
      <c r="U30" s="51"/>
    </row>
    <row r="31" spans="2:21">
      <c r="B31" s="46"/>
      <c r="C31" s="40" t="s">
        <v>118</v>
      </c>
      <c r="D31" s="52">
        <v>2118</v>
      </c>
      <c r="E31" s="48">
        <v>1957</v>
      </c>
      <c r="F31" s="48">
        <v>2106</v>
      </c>
      <c r="G31" s="49">
        <v>2275</v>
      </c>
      <c r="H31" s="48">
        <v>1629.89580000004</v>
      </c>
      <c r="I31" s="50">
        <v>1468.6960000000499</v>
      </c>
      <c r="J31" s="50">
        <v>1569.6192999999801</v>
      </c>
      <c r="K31" s="49">
        <v>1707.7543999999</v>
      </c>
      <c r="S31" s="51"/>
      <c r="T31" s="51"/>
      <c r="U31" s="51"/>
    </row>
    <row r="32" spans="2:21">
      <c r="B32" s="41"/>
      <c r="C32" s="42" t="s">
        <v>119</v>
      </c>
      <c r="D32" s="53">
        <v>21932</v>
      </c>
      <c r="E32" s="54">
        <v>22923</v>
      </c>
      <c r="F32" s="54">
        <v>22882</v>
      </c>
      <c r="G32" s="55">
        <v>22560</v>
      </c>
      <c r="H32" s="54">
        <v>16991.812800002801</v>
      </c>
      <c r="I32" s="54">
        <v>17756.9217000061</v>
      </c>
      <c r="J32" s="54">
        <v>17736.865999997899</v>
      </c>
      <c r="K32" s="55">
        <v>17373.779999994898</v>
      </c>
      <c r="S32" s="51"/>
      <c r="T32" s="51"/>
      <c r="U32" s="51"/>
    </row>
    <row r="33" spans="2:21">
      <c r="B33" s="46" t="s">
        <v>123</v>
      </c>
      <c r="C33" s="40" t="s">
        <v>113</v>
      </c>
      <c r="D33" s="52">
        <v>763</v>
      </c>
      <c r="E33" s="48">
        <v>907</v>
      </c>
      <c r="F33" s="48">
        <v>683</v>
      </c>
      <c r="G33" s="49">
        <v>466</v>
      </c>
      <c r="H33" s="48">
        <v>247.270000000002</v>
      </c>
      <c r="I33" s="50">
        <v>333.223900000002</v>
      </c>
      <c r="J33" s="50">
        <v>229.16839999999999</v>
      </c>
      <c r="K33" s="49">
        <v>169.70400000000001</v>
      </c>
      <c r="S33" s="51"/>
      <c r="T33" s="51"/>
      <c r="U33" s="51"/>
    </row>
    <row r="34" spans="2:21">
      <c r="B34" s="46"/>
      <c r="C34" s="40" t="s">
        <v>114</v>
      </c>
      <c r="D34" s="52">
        <v>12797</v>
      </c>
      <c r="E34" s="48">
        <v>13385</v>
      </c>
      <c r="F34" s="48">
        <v>13622</v>
      </c>
      <c r="G34" s="49">
        <v>11957</v>
      </c>
      <c r="H34" s="48">
        <v>11146.4143999968</v>
      </c>
      <c r="I34" s="50">
        <v>11719.336099996501</v>
      </c>
      <c r="J34" s="50">
        <v>11903.527900000799</v>
      </c>
      <c r="K34" s="49">
        <v>10433.0150000008</v>
      </c>
      <c r="S34" s="51"/>
      <c r="T34" s="51"/>
      <c r="U34" s="51"/>
    </row>
    <row r="35" spans="2:21">
      <c r="B35" s="46"/>
      <c r="C35" s="40" t="s">
        <v>115</v>
      </c>
      <c r="D35" s="52">
        <v>1515</v>
      </c>
      <c r="E35" s="48">
        <v>1765</v>
      </c>
      <c r="F35" s="48">
        <v>1807</v>
      </c>
      <c r="G35" s="49">
        <v>1692</v>
      </c>
      <c r="H35" s="48">
        <v>816.55240000000697</v>
      </c>
      <c r="I35" s="50">
        <v>922.78520000000401</v>
      </c>
      <c r="J35" s="50">
        <v>966.51000000001</v>
      </c>
      <c r="K35" s="49">
        <v>908.78330000000801</v>
      </c>
      <c r="S35" s="51"/>
      <c r="T35" s="51"/>
      <c r="U35" s="51"/>
    </row>
    <row r="36" spans="2:21">
      <c r="C36" s="40" t="s">
        <v>116</v>
      </c>
      <c r="D36" s="52">
        <v>1303</v>
      </c>
      <c r="E36" s="48">
        <v>1377</v>
      </c>
      <c r="F36" s="48">
        <v>1535</v>
      </c>
      <c r="G36" s="49">
        <v>1538</v>
      </c>
      <c r="H36" s="48">
        <v>870.64420000000098</v>
      </c>
      <c r="I36" s="50">
        <v>948.13890000000004</v>
      </c>
      <c r="J36" s="50">
        <v>1059.1688999999999</v>
      </c>
      <c r="K36" s="49">
        <v>1063.0673999999999</v>
      </c>
      <c r="S36" s="51"/>
      <c r="T36" s="51"/>
      <c r="U36" s="51"/>
    </row>
    <row r="37" spans="2:21">
      <c r="C37" s="40" t="s">
        <v>117</v>
      </c>
      <c r="D37" s="52"/>
      <c r="E37" s="48"/>
      <c r="F37" s="48"/>
      <c r="G37" s="49"/>
      <c r="H37" s="48"/>
      <c r="I37" s="50"/>
      <c r="J37" s="50"/>
      <c r="K37" s="49"/>
      <c r="S37" s="51"/>
      <c r="T37" s="51"/>
      <c r="U37" s="51"/>
    </row>
    <row r="38" spans="2:21">
      <c r="C38" s="40" t="s">
        <v>118</v>
      </c>
      <c r="D38" s="52">
        <v>1673</v>
      </c>
      <c r="E38" s="48">
        <v>1685</v>
      </c>
      <c r="F38" s="48">
        <v>1607</v>
      </c>
      <c r="G38" s="49">
        <v>1176</v>
      </c>
      <c r="H38" s="48">
        <v>1355.4887000000101</v>
      </c>
      <c r="I38" s="50">
        <v>1366.5476000000001</v>
      </c>
      <c r="J38" s="50">
        <v>1264.9679999999801</v>
      </c>
      <c r="K38" s="49">
        <v>912.100300000007</v>
      </c>
      <c r="S38" s="51"/>
      <c r="T38" s="51"/>
      <c r="U38" s="51"/>
    </row>
    <row r="39" spans="2:21">
      <c r="B39" s="41"/>
      <c r="C39" s="42" t="s">
        <v>119</v>
      </c>
      <c r="D39" s="53">
        <v>17375</v>
      </c>
      <c r="E39" s="54">
        <v>18322</v>
      </c>
      <c r="F39" s="54">
        <v>18496</v>
      </c>
      <c r="G39" s="55">
        <v>16189</v>
      </c>
      <c r="H39" s="54">
        <v>14436.3696999979</v>
      </c>
      <c r="I39" s="54">
        <v>15290.0316999977</v>
      </c>
      <c r="J39" s="54">
        <v>15423.343200002801</v>
      </c>
      <c r="K39" s="55">
        <v>13486.670000001201</v>
      </c>
      <c r="S39" s="51"/>
      <c r="T39" s="51"/>
      <c r="U39" s="51"/>
    </row>
    <row r="40" spans="2:21">
      <c r="B40" s="56" t="s">
        <v>124</v>
      </c>
      <c r="C40" s="40" t="s">
        <v>113</v>
      </c>
      <c r="D40" s="52">
        <v>210</v>
      </c>
      <c r="E40" s="48">
        <v>240</v>
      </c>
      <c r="F40" s="48">
        <v>258</v>
      </c>
      <c r="G40" s="49">
        <v>2921</v>
      </c>
      <c r="H40" s="48">
        <v>130.50040000000001</v>
      </c>
      <c r="I40" s="48">
        <v>143.70840000000001</v>
      </c>
      <c r="J40" s="48">
        <v>161.22999999999999</v>
      </c>
      <c r="K40" s="49">
        <v>1054.2956000000099</v>
      </c>
      <c r="S40" s="51"/>
      <c r="T40" s="51"/>
      <c r="U40" s="51"/>
    </row>
    <row r="41" spans="2:21">
      <c r="B41" s="57"/>
      <c r="C41" s="40" t="s">
        <v>114</v>
      </c>
      <c r="D41" s="52">
        <v>1570</v>
      </c>
      <c r="E41" s="48">
        <v>1637</v>
      </c>
      <c r="F41" s="48">
        <v>1682</v>
      </c>
      <c r="G41" s="49">
        <v>1612</v>
      </c>
      <c r="H41" s="48">
        <v>1313.6876</v>
      </c>
      <c r="I41" s="48">
        <v>1334.1874</v>
      </c>
      <c r="J41" s="48">
        <v>1366.875</v>
      </c>
      <c r="K41" s="49">
        <v>1348.8126</v>
      </c>
      <c r="S41" s="51"/>
      <c r="T41" s="51"/>
      <c r="U41" s="51"/>
    </row>
    <row r="42" spans="2:21">
      <c r="B42" s="57"/>
      <c r="C42" s="40" t="s">
        <v>115</v>
      </c>
      <c r="D42" s="52">
        <v>277</v>
      </c>
      <c r="E42" s="48">
        <v>314</v>
      </c>
      <c r="F42" s="48">
        <v>240</v>
      </c>
      <c r="G42" s="49">
        <v>209</v>
      </c>
      <c r="H42" s="48">
        <v>123.811400000002</v>
      </c>
      <c r="I42" s="48">
        <v>157.49180000000001</v>
      </c>
      <c r="J42" s="48">
        <v>114.606400000001</v>
      </c>
      <c r="K42" s="49">
        <v>98.686300000000799</v>
      </c>
      <c r="S42" s="51"/>
      <c r="T42" s="51"/>
      <c r="U42" s="51"/>
    </row>
    <row r="43" spans="2:21">
      <c r="B43" s="57"/>
      <c r="C43" s="40" t="s">
        <v>116</v>
      </c>
      <c r="D43" s="52">
        <v>329</v>
      </c>
      <c r="E43" s="48">
        <v>358</v>
      </c>
      <c r="F43" s="48">
        <v>367</v>
      </c>
      <c r="G43" s="49">
        <v>359</v>
      </c>
      <c r="H43" s="48">
        <v>246.59139999999999</v>
      </c>
      <c r="I43" s="48">
        <v>275.50009999999997</v>
      </c>
      <c r="J43" s="48">
        <v>289.12520000000001</v>
      </c>
      <c r="K43" s="49">
        <v>265.78890000000001</v>
      </c>
      <c r="S43" s="51"/>
      <c r="T43" s="51"/>
      <c r="U43" s="51"/>
    </row>
    <row r="44" spans="2:21">
      <c r="B44" s="57"/>
      <c r="C44" s="40" t="s">
        <v>117</v>
      </c>
      <c r="D44" s="52">
        <v>42</v>
      </c>
      <c r="E44" s="48">
        <v>35</v>
      </c>
      <c r="F44" s="48">
        <v>41</v>
      </c>
      <c r="G44" s="49">
        <v>30</v>
      </c>
      <c r="H44" s="48">
        <v>28.0002</v>
      </c>
      <c r="I44" s="48">
        <v>25.875</v>
      </c>
      <c r="J44" s="48">
        <v>24.083400000000001</v>
      </c>
      <c r="K44" s="49">
        <v>19.2499</v>
      </c>
      <c r="S44" s="51"/>
      <c r="T44" s="51"/>
      <c r="U44" s="51"/>
    </row>
    <row r="45" spans="2:21">
      <c r="B45" s="57"/>
      <c r="C45" s="40" t="s">
        <v>118</v>
      </c>
      <c r="D45" s="52">
        <v>864</v>
      </c>
      <c r="E45" s="48">
        <v>770</v>
      </c>
      <c r="F45" s="48">
        <v>800</v>
      </c>
      <c r="G45" s="49">
        <v>725</v>
      </c>
      <c r="H45" s="48">
        <v>603.18539999999598</v>
      </c>
      <c r="I45" s="48">
        <v>552.43519999999705</v>
      </c>
      <c r="J45" s="48">
        <v>557.34679999999503</v>
      </c>
      <c r="K45" s="49">
        <v>514.26459999999895</v>
      </c>
      <c r="S45" s="51"/>
      <c r="T45" s="51"/>
      <c r="U45" s="51"/>
    </row>
    <row r="46" spans="2:21">
      <c r="B46" s="41"/>
      <c r="C46" s="42" t="s">
        <v>119</v>
      </c>
      <c r="D46" s="53">
        <v>3184</v>
      </c>
      <c r="E46" s="54">
        <v>3229</v>
      </c>
      <c r="F46" s="54">
        <v>3296</v>
      </c>
      <c r="G46" s="55">
        <v>5745</v>
      </c>
      <c r="H46" s="54">
        <v>2445.7764000000402</v>
      </c>
      <c r="I46" s="54">
        <v>2489.1979000001002</v>
      </c>
      <c r="J46" s="54">
        <v>2513.2668000000399</v>
      </c>
      <c r="K46" s="55">
        <v>3301.0979000000598</v>
      </c>
      <c r="S46" s="51"/>
      <c r="T46" s="51"/>
      <c r="U46" s="51"/>
    </row>
    <row r="47" spans="2:21">
      <c r="B47" s="56" t="s">
        <v>125</v>
      </c>
      <c r="C47" s="40" t="s">
        <v>113</v>
      </c>
      <c r="D47" s="52">
        <v>384</v>
      </c>
      <c r="E47" s="48">
        <v>235</v>
      </c>
      <c r="F47" s="48">
        <v>223</v>
      </c>
      <c r="G47" s="60">
        <v>158</v>
      </c>
      <c r="H47" s="61">
        <v>295.55890000000102</v>
      </c>
      <c r="I47" s="61">
        <v>161.05719999999599</v>
      </c>
      <c r="J47" s="61">
        <v>154.82289999999699</v>
      </c>
      <c r="K47" s="60">
        <v>110.771099999999</v>
      </c>
      <c r="S47" s="51"/>
      <c r="T47" s="51"/>
      <c r="U47" s="51"/>
    </row>
    <row r="48" spans="2:21">
      <c r="B48" s="57"/>
      <c r="C48" s="40" t="s">
        <v>114</v>
      </c>
      <c r="D48" s="52">
        <v>14661</v>
      </c>
      <c r="E48" s="48">
        <v>15232</v>
      </c>
      <c r="F48" s="48">
        <v>15573</v>
      </c>
      <c r="G48" s="60">
        <v>15312</v>
      </c>
      <c r="H48" s="61">
        <v>13861.993899985</v>
      </c>
      <c r="I48" s="61">
        <v>14555.7923999841</v>
      </c>
      <c r="J48" s="61">
        <v>14963.0597999824</v>
      </c>
      <c r="K48" s="60">
        <v>14624.550499982801</v>
      </c>
      <c r="S48" s="51"/>
      <c r="T48" s="51"/>
      <c r="U48" s="51"/>
    </row>
    <row r="49" spans="2:21">
      <c r="B49" s="57"/>
      <c r="C49" s="40" t="s">
        <v>115</v>
      </c>
      <c r="D49" s="52">
        <v>2628</v>
      </c>
      <c r="E49" s="48">
        <v>2617</v>
      </c>
      <c r="F49" s="48">
        <v>2646</v>
      </c>
      <c r="G49" s="60">
        <v>2532</v>
      </c>
      <c r="H49" s="61">
        <v>1343.6122000000501</v>
      </c>
      <c r="I49" s="61">
        <v>1335.04430000004</v>
      </c>
      <c r="J49" s="61">
        <v>1406.10140000006</v>
      </c>
      <c r="K49" s="60">
        <v>1357.3410000000399</v>
      </c>
      <c r="S49" s="51"/>
      <c r="T49" s="51"/>
      <c r="U49" s="51"/>
    </row>
    <row r="50" spans="2:21">
      <c r="B50" s="57"/>
      <c r="C50" s="40" t="s">
        <v>116</v>
      </c>
      <c r="D50" s="52">
        <v>1570</v>
      </c>
      <c r="E50" s="48">
        <v>1724</v>
      </c>
      <c r="F50" s="48">
        <v>1839</v>
      </c>
      <c r="G50" s="60">
        <v>1897</v>
      </c>
      <c r="H50" s="61">
        <v>1244.6661999999999</v>
      </c>
      <c r="I50" s="61">
        <v>1364.3109999999999</v>
      </c>
      <c r="J50" s="61">
        <v>1468.3094000000001</v>
      </c>
      <c r="K50" s="60">
        <v>1513.6285</v>
      </c>
      <c r="S50" s="51"/>
      <c r="T50" s="51"/>
      <c r="U50" s="51"/>
    </row>
    <row r="51" spans="2:21">
      <c r="B51" s="57"/>
      <c r="C51" s="40" t="s">
        <v>117</v>
      </c>
      <c r="D51" s="52">
        <v>78</v>
      </c>
      <c r="E51" s="48">
        <v>80</v>
      </c>
      <c r="F51" s="48">
        <v>66</v>
      </c>
      <c r="G51" s="60">
        <v>66</v>
      </c>
      <c r="H51" s="61">
        <v>55.5</v>
      </c>
      <c r="I51" s="61">
        <v>59.351999999999997</v>
      </c>
      <c r="J51" s="61">
        <v>49.875</v>
      </c>
      <c r="K51" s="60">
        <v>46.301000000000002</v>
      </c>
      <c r="S51" s="51"/>
      <c r="T51" s="51"/>
      <c r="U51" s="51"/>
    </row>
    <row r="52" spans="2:21">
      <c r="B52" s="57"/>
      <c r="C52" s="40" t="s">
        <v>118</v>
      </c>
      <c r="D52" s="52">
        <v>1930</v>
      </c>
      <c r="E52" s="48">
        <v>2096</v>
      </c>
      <c r="F52" s="48">
        <v>2232</v>
      </c>
      <c r="G52" s="60">
        <v>2308</v>
      </c>
      <c r="H52" s="61">
        <v>1492.9913000001</v>
      </c>
      <c r="I52" s="61">
        <v>1650.51820000013</v>
      </c>
      <c r="J52" s="61">
        <v>1777.0849000001599</v>
      </c>
      <c r="K52" s="60">
        <v>1879.41350000021</v>
      </c>
      <c r="S52" s="51"/>
      <c r="T52" s="51"/>
      <c r="U52" s="51"/>
    </row>
    <row r="53" spans="2:21">
      <c r="B53" s="41"/>
      <c r="C53" s="42" t="s">
        <v>119</v>
      </c>
      <c r="D53" s="53">
        <v>20644</v>
      </c>
      <c r="E53" s="54">
        <v>21343</v>
      </c>
      <c r="F53" s="54">
        <v>21950</v>
      </c>
      <c r="G53" s="62">
        <v>21640</v>
      </c>
      <c r="H53" s="63">
        <v>18294.322499994301</v>
      </c>
      <c r="I53" s="63">
        <v>19126.0750999991</v>
      </c>
      <c r="J53" s="63">
        <v>19819.2534000044</v>
      </c>
      <c r="K53" s="62">
        <v>19532.005599999298</v>
      </c>
      <c r="S53" s="51"/>
      <c r="T53" s="51"/>
      <c r="U53" s="51"/>
    </row>
    <row r="54" spans="2:21">
      <c r="B54" s="56" t="s">
        <v>126</v>
      </c>
      <c r="C54" s="40" t="s">
        <v>113</v>
      </c>
      <c r="D54" s="52">
        <v>6740</v>
      </c>
      <c r="E54" s="48">
        <v>4837</v>
      </c>
      <c r="F54" s="48">
        <v>3989</v>
      </c>
      <c r="G54" s="49">
        <v>2890</v>
      </c>
      <c r="H54" s="48">
        <v>3088.8666000001199</v>
      </c>
      <c r="I54" s="48">
        <v>2228.2285000000202</v>
      </c>
      <c r="J54" s="48">
        <v>1841.61879999998</v>
      </c>
      <c r="K54" s="49">
        <v>1583.5450000000001</v>
      </c>
      <c r="S54" s="51"/>
      <c r="T54" s="51"/>
      <c r="U54" s="51"/>
    </row>
    <row r="55" spans="2:21">
      <c r="B55" s="57"/>
      <c r="C55" s="40" t="s">
        <v>114</v>
      </c>
      <c r="D55" s="52">
        <v>13470</v>
      </c>
      <c r="E55" s="48">
        <v>15758</v>
      </c>
      <c r="F55" s="48">
        <v>16785</v>
      </c>
      <c r="G55" s="49">
        <v>16193</v>
      </c>
      <c r="H55" s="48">
        <v>9370.7516999999698</v>
      </c>
      <c r="I55" s="48">
        <v>11121.5036</v>
      </c>
      <c r="J55" s="48">
        <v>12036.0888000003</v>
      </c>
      <c r="K55" s="49">
        <v>11926.071400000001</v>
      </c>
      <c r="S55" s="51"/>
      <c r="T55" s="51"/>
      <c r="U55" s="51"/>
    </row>
    <row r="56" spans="2:21">
      <c r="B56" s="57"/>
      <c r="C56" s="40" t="s">
        <v>115</v>
      </c>
      <c r="D56" s="52">
        <v>1871</v>
      </c>
      <c r="E56" s="48">
        <v>2208</v>
      </c>
      <c r="F56" s="48">
        <v>2343</v>
      </c>
      <c r="G56" s="49">
        <v>2163</v>
      </c>
      <c r="H56" s="48">
        <v>736.46899999999903</v>
      </c>
      <c r="I56" s="48">
        <v>969.42639999999994</v>
      </c>
      <c r="J56" s="48">
        <v>1041.8568</v>
      </c>
      <c r="K56" s="49">
        <v>935.04810000000305</v>
      </c>
      <c r="S56" s="51"/>
      <c r="T56" s="51"/>
      <c r="U56" s="51"/>
    </row>
    <row r="57" spans="2:21">
      <c r="B57" s="57"/>
      <c r="C57" s="40" t="s">
        <v>116</v>
      </c>
      <c r="D57" s="52">
        <v>803</v>
      </c>
      <c r="E57" s="48">
        <v>945</v>
      </c>
      <c r="F57" s="48">
        <v>1081</v>
      </c>
      <c r="G57" s="49">
        <v>1144</v>
      </c>
      <c r="H57" s="48">
        <v>370.60150000000101</v>
      </c>
      <c r="I57" s="48">
        <v>475.4889</v>
      </c>
      <c r="J57" s="48">
        <v>559.68039999999996</v>
      </c>
      <c r="K57" s="49">
        <v>604.76209999999696</v>
      </c>
      <c r="S57" s="51"/>
      <c r="T57" s="51"/>
      <c r="U57" s="51"/>
    </row>
    <row r="58" spans="2:21">
      <c r="B58" s="57"/>
      <c r="C58" s="40" t="s">
        <v>117</v>
      </c>
      <c r="D58" s="52">
        <v>33</v>
      </c>
      <c r="E58" s="48">
        <v>23</v>
      </c>
      <c r="F58" s="48">
        <v>10</v>
      </c>
      <c r="G58" s="49">
        <v>14</v>
      </c>
      <c r="H58" s="48">
        <v>21.050799999999999</v>
      </c>
      <c r="I58" s="48">
        <v>7.9607999999999999</v>
      </c>
      <c r="J58" s="48">
        <v>4.3484999999999996</v>
      </c>
      <c r="K58" s="49">
        <v>6.3968999999999996</v>
      </c>
      <c r="S58" s="51"/>
      <c r="T58" s="51"/>
      <c r="U58" s="51"/>
    </row>
    <row r="59" spans="2:21">
      <c r="B59" s="57"/>
      <c r="C59" s="40" t="s">
        <v>118</v>
      </c>
      <c r="D59" s="52">
        <v>4007</v>
      </c>
      <c r="E59" s="48">
        <v>4403</v>
      </c>
      <c r="F59" s="48">
        <v>5089</v>
      </c>
      <c r="G59" s="49">
        <v>5704</v>
      </c>
      <c r="H59" s="48">
        <v>2758.9747999999699</v>
      </c>
      <c r="I59" s="48">
        <v>2890.3003000000599</v>
      </c>
      <c r="J59" s="48">
        <v>3203.87970000007</v>
      </c>
      <c r="K59" s="49">
        <v>3141.0010000001498</v>
      </c>
      <c r="S59" s="51"/>
      <c r="T59" s="51"/>
      <c r="U59" s="51"/>
    </row>
    <row r="60" spans="2:21">
      <c r="B60" s="41"/>
      <c r="C60" s="42" t="s">
        <v>119</v>
      </c>
      <c r="D60" s="53">
        <v>23246</v>
      </c>
      <c r="E60" s="54">
        <v>24867</v>
      </c>
      <c r="F60" s="54">
        <v>26038</v>
      </c>
      <c r="G60" s="55">
        <v>25150</v>
      </c>
      <c r="H60" s="54">
        <v>16346.7143999986</v>
      </c>
      <c r="I60" s="54">
        <v>17692.908499999699</v>
      </c>
      <c r="J60" s="54">
        <v>18687.4729999999</v>
      </c>
      <c r="K60" s="55">
        <v>18196.824499999901</v>
      </c>
      <c r="S60" s="51"/>
      <c r="T60" s="51"/>
      <c r="U60" s="51"/>
    </row>
    <row r="61" spans="2:21">
      <c r="B61" s="56" t="s">
        <v>119</v>
      </c>
      <c r="C61" s="40" t="s">
        <v>113</v>
      </c>
      <c r="D61" s="52">
        <v>10260</v>
      </c>
      <c r="E61" s="48">
        <v>8727</v>
      </c>
      <c r="F61" s="48">
        <v>7061</v>
      </c>
      <c r="G61" s="49">
        <v>7597</v>
      </c>
      <c r="H61" s="48">
        <v>4937.1669999999403</v>
      </c>
      <c r="I61" s="50">
        <v>4226.0222000001804</v>
      </c>
      <c r="J61" s="50">
        <v>3409.2589000001299</v>
      </c>
      <c r="K61" s="49">
        <v>3531.3431999999498</v>
      </c>
      <c r="S61" s="51"/>
      <c r="T61" s="51"/>
      <c r="U61" s="51"/>
    </row>
    <row r="62" spans="2:21">
      <c r="B62" s="57"/>
      <c r="C62" s="40" t="s">
        <v>114</v>
      </c>
      <c r="D62" s="52">
        <v>114246</v>
      </c>
      <c r="E62" s="48">
        <v>121560</v>
      </c>
      <c r="F62" s="48">
        <v>122804</v>
      </c>
      <c r="G62" s="49">
        <v>118499</v>
      </c>
      <c r="H62" s="48">
        <v>88713.067800069693</v>
      </c>
      <c r="I62" s="50">
        <v>95005.1583000643</v>
      </c>
      <c r="J62" s="50">
        <v>97603.167499714895</v>
      </c>
      <c r="K62" s="49">
        <v>94710.644899988503</v>
      </c>
      <c r="S62" s="51"/>
      <c r="T62" s="51"/>
      <c r="U62" s="51"/>
    </row>
    <row r="63" spans="2:21">
      <c r="B63" s="57"/>
      <c r="C63" s="40" t="s">
        <v>115</v>
      </c>
      <c r="D63" s="52">
        <v>23099</v>
      </c>
      <c r="E63" s="48">
        <v>24665</v>
      </c>
      <c r="F63" s="48">
        <v>24746</v>
      </c>
      <c r="G63" s="49">
        <v>23222</v>
      </c>
      <c r="H63" s="48">
        <v>10722.0868000009</v>
      </c>
      <c r="I63" s="50">
        <v>11836.449800001101</v>
      </c>
      <c r="J63" s="50">
        <v>11947.4651000002</v>
      </c>
      <c r="K63" s="49">
        <v>11022.1593999997</v>
      </c>
      <c r="S63" s="51"/>
      <c r="T63" s="51"/>
      <c r="U63" s="51"/>
    </row>
    <row r="64" spans="2:21">
      <c r="B64" s="57"/>
      <c r="C64" s="40" t="s">
        <v>116</v>
      </c>
      <c r="D64" s="52">
        <v>10149</v>
      </c>
      <c r="E64" s="48">
        <v>11049</v>
      </c>
      <c r="F64" s="48">
        <v>12165</v>
      </c>
      <c r="G64" s="49">
        <v>12885</v>
      </c>
      <c r="H64" s="48">
        <v>7305.3111000000999</v>
      </c>
      <c r="I64" s="50">
        <v>8087.1436999999796</v>
      </c>
      <c r="J64" s="50">
        <v>8499.9464000002008</v>
      </c>
      <c r="K64" s="49">
        <v>8927.5904999997401</v>
      </c>
      <c r="S64" s="51"/>
      <c r="T64" s="51"/>
      <c r="U64" s="51"/>
    </row>
    <row r="65" spans="1:21">
      <c r="B65" s="57"/>
      <c r="C65" s="40" t="s">
        <v>117</v>
      </c>
      <c r="D65" s="52">
        <v>500</v>
      </c>
      <c r="E65" s="48">
        <v>499</v>
      </c>
      <c r="F65" s="48">
        <v>449</v>
      </c>
      <c r="G65" s="49">
        <v>493</v>
      </c>
      <c r="H65" s="48">
        <v>322.28309999999999</v>
      </c>
      <c r="I65" s="50">
        <v>304.61200000000002</v>
      </c>
      <c r="J65" s="50">
        <v>265.8997</v>
      </c>
      <c r="K65" s="49">
        <v>297.57650000000001</v>
      </c>
      <c r="S65" s="51"/>
      <c r="T65" s="51"/>
      <c r="U65" s="51"/>
    </row>
    <row r="66" spans="1:21">
      <c r="B66" s="57"/>
      <c r="C66" s="40" t="s">
        <v>118</v>
      </c>
      <c r="D66" s="52">
        <v>19289</v>
      </c>
      <c r="E66" s="48">
        <v>19610</v>
      </c>
      <c r="F66" s="48">
        <v>20681</v>
      </c>
      <c r="G66" s="49">
        <v>21257</v>
      </c>
      <c r="H66" s="48">
        <v>14361.887299997599</v>
      </c>
      <c r="I66" s="50">
        <v>14502.2541999975</v>
      </c>
      <c r="J66" s="50">
        <v>15003.505399998799</v>
      </c>
      <c r="K66" s="49">
        <v>14864.7547999956</v>
      </c>
      <c r="S66" s="51"/>
      <c r="T66" s="51"/>
      <c r="U66" s="51"/>
    </row>
    <row r="67" spans="1:21">
      <c r="B67" s="41"/>
      <c r="C67" s="42" t="s">
        <v>119</v>
      </c>
      <c r="D67" s="53">
        <v>168618</v>
      </c>
      <c r="E67" s="54">
        <v>177149</v>
      </c>
      <c r="F67" s="54">
        <v>179002</v>
      </c>
      <c r="G67" s="55">
        <v>175719</v>
      </c>
      <c r="H67" s="54">
        <v>126361.80310009699</v>
      </c>
      <c r="I67" s="54">
        <v>133961.64020010401</v>
      </c>
      <c r="J67" s="54">
        <v>136729.24300011201</v>
      </c>
      <c r="K67" s="55">
        <v>133354.06929968699</v>
      </c>
      <c r="S67" s="51"/>
      <c r="T67" s="51"/>
      <c r="U67" s="51"/>
    </row>
    <row r="69" spans="1:21">
      <c r="B69" s="58" t="s">
        <v>127</v>
      </c>
    </row>
    <row r="70" spans="1:21">
      <c r="A70" s="38">
        <v>1</v>
      </c>
      <c r="B70" s="58" t="s">
        <v>128</v>
      </c>
    </row>
    <row r="71" spans="1:21">
      <c r="A71" s="38">
        <v>2</v>
      </c>
      <c r="B71" s="58" t="s">
        <v>129</v>
      </c>
    </row>
    <row r="72" spans="1:21">
      <c r="A72" s="38">
        <v>3</v>
      </c>
      <c r="B72" s="58" t="s">
        <v>130</v>
      </c>
    </row>
    <row r="73" spans="1:21">
      <c r="A73" s="38">
        <v>4</v>
      </c>
      <c r="B73" s="58" t="s">
        <v>131</v>
      </c>
    </row>
    <row r="74" spans="1:21">
      <c r="A74" s="38">
        <v>5</v>
      </c>
      <c r="B74" s="38" t="s">
        <v>133</v>
      </c>
    </row>
  </sheetData>
  <mergeCells count="2">
    <mergeCell ref="D3:G3"/>
    <mergeCell ref="H3:K3"/>
  </mergeCells>
  <phoneticPr fontId="17" type="noConversion"/>
  <hyperlinks>
    <hyperlink ref="B1" location="Index!A1" display="&lt; Back to Index &gt;" xr:uid="{00000000-0004-0000-0300-000000000000}"/>
    <hyperlink ref="C1" location="'Ave weight 1996-2013'!A1" display="Ave weight 1996-2013" xr:uid="{00000000-0004-0000-03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T1008"/>
  <sheetViews>
    <sheetView topLeftCell="C1" zoomScale="85" workbookViewId="0">
      <pane xSplit="1" ySplit="24" topLeftCell="D25" activePane="bottomRight" state="frozen"/>
      <selection activeCell="C1" sqref="C1"/>
      <selection pane="topRight" activeCell="D1" sqref="D1"/>
      <selection pane="bottomLeft" activeCell="C24" sqref="C24"/>
      <selection pane="bottomRight" activeCell="H187" sqref="H187"/>
    </sheetView>
  </sheetViews>
  <sheetFormatPr defaultColWidth="9.140625" defaultRowHeight="12.75"/>
  <cols>
    <col min="1" max="1" width="3.28515625" style="66" customWidth="1"/>
    <col min="2" max="2" width="26.85546875" style="66" bestFit="1" customWidth="1"/>
    <col min="3" max="3" width="35.7109375" style="66" bestFit="1" customWidth="1"/>
    <col min="4" max="4" width="13.7109375" style="66" customWidth="1"/>
    <col min="5" max="5" width="9.140625" style="67"/>
    <col min="6" max="10" width="11.85546875" style="66" bestFit="1" customWidth="1"/>
    <col min="11" max="13" width="10.42578125" style="66" customWidth="1"/>
    <col min="14" max="14" width="7.7109375" style="66" bestFit="1" customWidth="1"/>
    <col min="15" max="15" width="10" style="66" bestFit="1" customWidth="1"/>
    <col min="16" max="16" width="9.42578125" style="66" bestFit="1" customWidth="1"/>
    <col min="17" max="16384" width="9.140625" style="66"/>
  </cols>
  <sheetData>
    <row r="1" spans="2:20">
      <c r="C1" s="187" t="s">
        <v>286</v>
      </c>
      <c r="E1" s="523" t="s">
        <v>304</v>
      </c>
    </row>
    <row r="2" spans="2:20" ht="15">
      <c r="B2" s="65" t="s">
        <v>164</v>
      </c>
    </row>
    <row r="4" spans="2:20" s="72" customFormat="1" ht="39.75" customHeight="1">
      <c r="B4" s="68" t="s">
        <v>165</v>
      </c>
      <c r="C4" s="69" t="s">
        <v>110</v>
      </c>
      <c r="D4" s="70" t="s">
        <v>166</v>
      </c>
      <c r="E4" s="70" t="s">
        <v>167</v>
      </c>
      <c r="F4" s="70" t="s">
        <v>168</v>
      </c>
      <c r="G4" s="70" t="s">
        <v>169</v>
      </c>
      <c r="H4" s="70" t="s">
        <v>170</v>
      </c>
      <c r="I4" s="70" t="s">
        <v>171</v>
      </c>
      <c r="J4" s="70" t="s">
        <v>172</v>
      </c>
      <c r="K4" s="70" t="s">
        <v>173</v>
      </c>
      <c r="L4" s="70" t="s">
        <v>174</v>
      </c>
      <c r="M4" s="70" t="s">
        <v>175</v>
      </c>
      <c r="N4" s="70" t="s">
        <v>176</v>
      </c>
      <c r="O4" s="70" t="s">
        <v>177</v>
      </c>
      <c r="P4" s="70" t="s">
        <v>119</v>
      </c>
      <c r="Q4" s="71" t="s">
        <v>86</v>
      </c>
      <c r="R4" s="71" t="s">
        <v>87</v>
      </c>
      <c r="S4" s="71" t="s">
        <v>88</v>
      </c>
      <c r="T4" s="71" t="s">
        <v>89</v>
      </c>
    </row>
    <row r="5" spans="2:20" ht="16.5" customHeight="1">
      <c r="B5" s="73"/>
      <c r="C5" s="74"/>
      <c r="D5" s="75"/>
      <c r="E5" s="75"/>
      <c r="F5" s="75"/>
      <c r="G5" s="75"/>
      <c r="H5" s="75"/>
      <c r="I5" s="75"/>
      <c r="J5" s="75"/>
      <c r="K5" s="75"/>
      <c r="L5" s="75"/>
      <c r="M5" s="75"/>
      <c r="N5" s="75"/>
      <c r="O5" s="75"/>
      <c r="P5" s="75"/>
    </row>
    <row r="6" spans="2:20" hidden="1">
      <c r="B6" s="76" t="s">
        <v>178</v>
      </c>
      <c r="C6" s="76" t="s">
        <v>112</v>
      </c>
      <c r="D6" s="77" t="s">
        <v>179</v>
      </c>
      <c r="E6" s="67">
        <v>2005</v>
      </c>
      <c r="F6" s="78">
        <v>26.865200000000002</v>
      </c>
      <c r="G6" s="78">
        <v>10.153600000000001</v>
      </c>
      <c r="H6" s="78">
        <v>0</v>
      </c>
      <c r="I6" s="78">
        <v>410.30290000000008</v>
      </c>
      <c r="J6" s="78">
        <v>432.81710000000004</v>
      </c>
      <c r="K6" s="78">
        <v>17917.038299999975</v>
      </c>
      <c r="L6" s="78">
        <v>1078.3115999999995</v>
      </c>
      <c r="M6" s="78">
        <v>3939.3196999999864</v>
      </c>
      <c r="N6" s="78">
        <v>1318.1588000000006</v>
      </c>
      <c r="O6" s="78">
        <v>1083.7012999999997</v>
      </c>
      <c r="P6" s="78">
        <v>26216.668500000011</v>
      </c>
    </row>
    <row r="7" spans="2:20" hidden="1">
      <c r="B7" s="79"/>
      <c r="C7" s="80"/>
      <c r="D7" s="81" t="s">
        <v>180</v>
      </c>
      <c r="E7" s="67">
        <v>2006</v>
      </c>
      <c r="F7" s="78">
        <v>2.1435</v>
      </c>
      <c r="G7" s="78">
        <v>2.4047999999999994</v>
      </c>
      <c r="H7" s="78">
        <v>0</v>
      </c>
      <c r="I7" s="78">
        <v>376.26590000000004</v>
      </c>
      <c r="J7" s="78">
        <v>291.46120000000002</v>
      </c>
      <c r="K7" s="78">
        <v>17729.420999999977</v>
      </c>
      <c r="L7" s="78">
        <v>1043.9650000000001</v>
      </c>
      <c r="M7" s="78">
        <v>4022.5307000000057</v>
      </c>
      <c r="N7" s="78">
        <v>1064.2598</v>
      </c>
      <c r="O7" s="78">
        <v>1029.6387999999999</v>
      </c>
      <c r="P7" s="78">
        <v>25562.090699999939</v>
      </c>
    </row>
    <row r="8" spans="2:20" hidden="1">
      <c r="B8" s="79"/>
      <c r="C8" s="80"/>
      <c r="D8" s="81" t="s">
        <v>180</v>
      </c>
      <c r="E8" s="67">
        <v>2007</v>
      </c>
      <c r="F8" s="78">
        <v>1.1432</v>
      </c>
      <c r="G8" s="78">
        <v>0</v>
      </c>
      <c r="H8" s="78">
        <v>0</v>
      </c>
      <c r="I8" s="78">
        <v>358.66660000000002</v>
      </c>
      <c r="J8" s="78">
        <v>175.60620000000006</v>
      </c>
      <c r="K8" s="78">
        <v>18678.190999999988</v>
      </c>
      <c r="L8" s="78">
        <v>1107.3571000000004</v>
      </c>
      <c r="M8" s="78">
        <v>4213.0881000000036</v>
      </c>
      <c r="N8" s="78">
        <v>999.27819999999986</v>
      </c>
      <c r="O8" s="78">
        <v>1046.7949000000001</v>
      </c>
      <c r="P8" s="78">
        <v>26580.125299999982</v>
      </c>
    </row>
    <row r="9" spans="2:20" hidden="1">
      <c r="B9" s="79"/>
      <c r="C9" s="80"/>
      <c r="D9" s="81" t="s">
        <v>180</v>
      </c>
      <c r="E9" s="67">
        <v>2008</v>
      </c>
      <c r="F9" s="78">
        <v>0</v>
      </c>
      <c r="G9" s="78">
        <v>0</v>
      </c>
      <c r="H9" s="78">
        <v>0</v>
      </c>
      <c r="I9" s="78">
        <v>313.625</v>
      </c>
      <c r="J9" s="78">
        <v>97.860299999999995</v>
      </c>
      <c r="K9" s="78">
        <v>18703.645899999985</v>
      </c>
      <c r="L9" s="78">
        <v>1096.7135000000001</v>
      </c>
      <c r="M9" s="78">
        <v>4439.7436000000071</v>
      </c>
      <c r="N9" s="78">
        <v>1032.2356</v>
      </c>
      <c r="O9" s="78">
        <v>1028.4389000000003</v>
      </c>
      <c r="P9" s="78">
        <v>26712.262799999968</v>
      </c>
    </row>
    <row r="10" spans="2:20" hidden="1">
      <c r="B10" s="79"/>
      <c r="C10" s="80"/>
      <c r="D10" s="81" t="s">
        <v>180</v>
      </c>
      <c r="E10" s="67">
        <v>2009</v>
      </c>
      <c r="F10" s="78">
        <v>0</v>
      </c>
      <c r="G10" s="78">
        <v>0</v>
      </c>
      <c r="H10" s="78">
        <v>0</v>
      </c>
      <c r="I10" s="78">
        <v>338.375</v>
      </c>
      <c r="J10" s="78">
        <v>49.459299999999999</v>
      </c>
      <c r="K10" s="78">
        <v>19395.85339999996</v>
      </c>
      <c r="L10" s="78">
        <v>1293.33</v>
      </c>
      <c r="M10" s="78">
        <v>4630.3943000000099</v>
      </c>
      <c r="N10" s="78">
        <v>1306.2708</v>
      </c>
      <c r="O10" s="78">
        <v>1038.6950999999999</v>
      </c>
      <c r="P10" s="78">
        <v>28052.377899999927</v>
      </c>
    </row>
    <row r="11" spans="2:20" hidden="1">
      <c r="B11" s="79"/>
      <c r="C11" s="80"/>
      <c r="D11" s="81" t="s">
        <v>180</v>
      </c>
      <c r="E11" s="67">
        <v>2010</v>
      </c>
      <c r="F11" s="78">
        <v>0</v>
      </c>
      <c r="G11" s="78">
        <v>0</v>
      </c>
      <c r="H11" s="78">
        <v>0</v>
      </c>
      <c r="I11" s="78">
        <v>318.33330000000001</v>
      </c>
      <c r="J11" s="78">
        <v>57.666800000000002</v>
      </c>
      <c r="K11" s="78">
        <v>19854.004199999967</v>
      </c>
      <c r="L11" s="78">
        <v>1217.3831999999995</v>
      </c>
      <c r="M11" s="78">
        <v>4904.205100000011</v>
      </c>
      <c r="N11" s="78">
        <v>1407.1496000000002</v>
      </c>
      <c r="O11" s="78">
        <v>1060.0623000000003</v>
      </c>
      <c r="P11" s="78">
        <v>28818.804499999937</v>
      </c>
    </row>
    <row r="12" spans="2:20" hidden="1">
      <c r="B12" s="79"/>
      <c r="C12" s="80"/>
      <c r="D12" s="81" t="s">
        <v>180</v>
      </c>
      <c r="E12" s="67">
        <v>2011</v>
      </c>
      <c r="F12" s="78">
        <v>0</v>
      </c>
      <c r="G12" s="78">
        <v>0</v>
      </c>
      <c r="H12" s="78">
        <v>0</v>
      </c>
      <c r="I12" s="78">
        <v>319.14589999999998</v>
      </c>
      <c r="J12" s="78">
        <v>34</v>
      </c>
      <c r="K12" s="78">
        <v>19822.308699999972</v>
      </c>
      <c r="L12" s="78">
        <v>960.91570000000024</v>
      </c>
      <c r="M12" s="78">
        <v>4640.3271000000059</v>
      </c>
      <c r="N12" s="78">
        <v>1489.9886999999999</v>
      </c>
      <c r="O12" s="78">
        <v>1050.1178</v>
      </c>
      <c r="P12" s="78">
        <v>28316.803899999923</v>
      </c>
    </row>
    <row r="13" spans="2:20" hidden="1">
      <c r="B13" s="79"/>
      <c r="C13" s="80"/>
      <c r="D13" s="81" t="s">
        <v>180</v>
      </c>
      <c r="E13" s="82">
        <v>2012</v>
      </c>
      <c r="F13" s="83">
        <v>0</v>
      </c>
      <c r="G13" s="83">
        <v>0</v>
      </c>
      <c r="H13" s="83">
        <v>0</v>
      </c>
      <c r="I13" s="83">
        <v>339.5</v>
      </c>
      <c r="J13" s="83">
        <v>25.625</v>
      </c>
      <c r="K13" s="83">
        <v>19800.621999999959</v>
      </c>
      <c r="L13" s="83">
        <v>904.7906000000005</v>
      </c>
      <c r="M13" s="83">
        <v>4928.2525000000069</v>
      </c>
      <c r="N13" s="83">
        <v>1388.2754000000002</v>
      </c>
      <c r="O13" s="83">
        <v>1071.1776000000002</v>
      </c>
      <c r="P13" s="83">
        <v>28458.243099999971</v>
      </c>
    </row>
    <row r="14" spans="2:20" hidden="1">
      <c r="B14" s="79"/>
      <c r="C14" s="80"/>
      <c r="D14" s="77" t="s">
        <v>180</v>
      </c>
      <c r="E14" s="67">
        <v>2005</v>
      </c>
      <c r="F14" s="78">
        <v>0</v>
      </c>
      <c r="G14" s="78">
        <v>0</v>
      </c>
      <c r="H14" s="78">
        <v>0</v>
      </c>
      <c r="I14" s="78">
        <v>19.255499999999998</v>
      </c>
      <c r="J14" s="78">
        <v>1.6436000000000002</v>
      </c>
      <c r="K14" s="78">
        <v>3460.6672999999905</v>
      </c>
      <c r="L14" s="78">
        <v>129.80659999999995</v>
      </c>
      <c r="M14" s="78">
        <v>414.02190000000019</v>
      </c>
      <c r="N14" s="78">
        <v>219.4966</v>
      </c>
      <c r="O14" s="78">
        <v>162.32749999999999</v>
      </c>
      <c r="P14" s="78">
        <v>4407.218999999991</v>
      </c>
    </row>
    <row r="15" spans="2:20" hidden="1">
      <c r="B15" s="79"/>
      <c r="C15" s="80"/>
      <c r="D15" s="81" t="s">
        <v>179</v>
      </c>
      <c r="E15" s="67">
        <v>2006</v>
      </c>
      <c r="F15" s="78">
        <v>0</v>
      </c>
      <c r="G15" s="78">
        <v>0</v>
      </c>
      <c r="H15" s="78">
        <v>0</v>
      </c>
      <c r="I15" s="78">
        <v>24.8995</v>
      </c>
      <c r="J15" s="78">
        <v>0.375</v>
      </c>
      <c r="K15" s="78">
        <v>2896.9013000000004</v>
      </c>
      <c r="L15" s="78">
        <v>73.747399999999999</v>
      </c>
      <c r="M15" s="78">
        <v>423.08679999999998</v>
      </c>
      <c r="N15" s="78">
        <v>163.57149999999999</v>
      </c>
      <c r="O15" s="78">
        <v>186.59780000000001</v>
      </c>
      <c r="P15" s="78">
        <v>3769.1793000000025</v>
      </c>
    </row>
    <row r="16" spans="2:20" hidden="1">
      <c r="B16" s="79"/>
      <c r="C16" s="80"/>
      <c r="D16" s="81" t="s">
        <v>179</v>
      </c>
      <c r="E16" s="67">
        <v>2007</v>
      </c>
      <c r="F16" s="78">
        <v>0</v>
      </c>
      <c r="G16" s="78">
        <v>0</v>
      </c>
      <c r="H16" s="78">
        <v>0</v>
      </c>
      <c r="I16" s="78">
        <v>35.2378</v>
      </c>
      <c r="J16" s="78">
        <v>0.5</v>
      </c>
      <c r="K16" s="78">
        <v>2513.4413000000004</v>
      </c>
      <c r="L16" s="78">
        <v>74.747200000000007</v>
      </c>
      <c r="M16" s="78">
        <v>453.6733999999999</v>
      </c>
      <c r="N16" s="78">
        <v>194.42599999999996</v>
      </c>
      <c r="O16" s="78">
        <v>267.57939999999996</v>
      </c>
      <c r="P16" s="78">
        <v>3539.6051000000002</v>
      </c>
    </row>
    <row r="17" spans="2:20" hidden="1">
      <c r="B17" s="79"/>
      <c r="C17" s="80"/>
      <c r="D17" s="81" t="s">
        <v>179</v>
      </c>
      <c r="E17" s="67">
        <v>2008</v>
      </c>
      <c r="F17" s="78">
        <v>0</v>
      </c>
      <c r="G17" s="78">
        <v>0</v>
      </c>
      <c r="H17" s="78">
        <v>0</v>
      </c>
      <c r="I17" s="78">
        <v>26.652100000000001</v>
      </c>
      <c r="J17" s="78">
        <v>0</v>
      </c>
      <c r="K17" s="78">
        <v>2242.5308999999997</v>
      </c>
      <c r="L17" s="78">
        <v>91.205699999999979</v>
      </c>
      <c r="M17" s="78">
        <v>447.04259999999994</v>
      </c>
      <c r="N17" s="78">
        <v>228.24970000000002</v>
      </c>
      <c r="O17" s="78">
        <v>327.70689999999985</v>
      </c>
      <c r="P17" s="78">
        <v>3363.3879000000006</v>
      </c>
    </row>
    <row r="18" spans="2:20" hidden="1">
      <c r="B18" s="79"/>
      <c r="C18" s="80"/>
      <c r="D18" s="81" t="s">
        <v>179</v>
      </c>
      <c r="E18" s="67">
        <v>2009</v>
      </c>
      <c r="F18" s="78">
        <v>0</v>
      </c>
      <c r="G18" s="78">
        <v>0</v>
      </c>
      <c r="H18" s="78">
        <v>0</v>
      </c>
      <c r="I18" s="78">
        <v>30.180299999999995</v>
      </c>
      <c r="J18" s="78">
        <v>0</v>
      </c>
      <c r="K18" s="78">
        <v>2291.4813999999992</v>
      </c>
      <c r="L18" s="78">
        <v>103.03679999999997</v>
      </c>
      <c r="M18" s="78">
        <v>434.63189999999997</v>
      </c>
      <c r="N18" s="78">
        <v>268.50620000000004</v>
      </c>
      <c r="O18" s="78">
        <v>400.50230000000005</v>
      </c>
      <c r="P18" s="78">
        <v>3528.338900000002</v>
      </c>
    </row>
    <row r="19" spans="2:20" hidden="1">
      <c r="B19" s="79"/>
      <c r="C19" s="80"/>
      <c r="D19" s="81" t="s">
        <v>179</v>
      </c>
      <c r="E19" s="67">
        <v>2010</v>
      </c>
      <c r="F19" s="78">
        <v>0</v>
      </c>
      <c r="G19" s="78">
        <v>0</v>
      </c>
      <c r="H19" s="78">
        <v>0</v>
      </c>
      <c r="I19" s="78">
        <v>30.894000000000002</v>
      </c>
      <c r="J19" s="78">
        <v>0</v>
      </c>
      <c r="K19" s="78">
        <v>2423.2010000000005</v>
      </c>
      <c r="L19" s="78">
        <v>84.206599999999995</v>
      </c>
      <c r="M19" s="78">
        <v>455.63119999999986</v>
      </c>
      <c r="N19" s="78">
        <v>267.88979999999998</v>
      </c>
      <c r="O19" s="78">
        <v>464.04329999999999</v>
      </c>
      <c r="P19" s="78">
        <v>3725.8659000000002</v>
      </c>
    </row>
    <row r="20" spans="2:20" hidden="1">
      <c r="B20" s="79"/>
      <c r="C20" s="80"/>
      <c r="D20" s="81" t="s">
        <v>179</v>
      </c>
      <c r="E20" s="67">
        <v>2011</v>
      </c>
      <c r="F20" s="78">
        <v>0</v>
      </c>
      <c r="G20" s="78">
        <v>0</v>
      </c>
      <c r="H20" s="78">
        <v>0</v>
      </c>
      <c r="I20" s="78">
        <v>57.977900000000005</v>
      </c>
      <c r="J20" s="78">
        <v>0</v>
      </c>
      <c r="K20" s="78">
        <v>2471.6794999999993</v>
      </c>
      <c r="L20" s="78">
        <v>71.374099999999999</v>
      </c>
      <c r="M20" s="78">
        <v>430.16839999999991</v>
      </c>
      <c r="N20" s="78">
        <v>236.83350000000002</v>
      </c>
      <c r="O20" s="78">
        <v>537.02189999999996</v>
      </c>
      <c r="P20" s="78">
        <v>3805.0553000000004</v>
      </c>
    </row>
    <row r="21" spans="2:20" hidden="1">
      <c r="B21" s="79"/>
      <c r="C21" s="80"/>
      <c r="D21" s="81" t="s">
        <v>179</v>
      </c>
      <c r="E21" s="82">
        <v>2012</v>
      </c>
      <c r="F21" s="83">
        <v>0</v>
      </c>
      <c r="G21" s="83">
        <v>0</v>
      </c>
      <c r="H21" s="83">
        <v>0</v>
      </c>
      <c r="I21" s="83">
        <v>72.36160000000001</v>
      </c>
      <c r="J21" s="83">
        <v>0</v>
      </c>
      <c r="K21" s="83">
        <v>2552.6380999999992</v>
      </c>
      <c r="L21" s="83">
        <v>60.353200000000001</v>
      </c>
      <c r="M21" s="83">
        <v>465.93899999999996</v>
      </c>
      <c r="N21" s="83">
        <v>351.23330000000004</v>
      </c>
      <c r="O21" s="83">
        <v>641.0119000000002</v>
      </c>
      <c r="P21" s="83">
        <v>4143.5371000000014</v>
      </c>
    </row>
    <row r="22" spans="2:20" hidden="1">
      <c r="B22" s="79"/>
      <c r="C22" s="80"/>
      <c r="D22" s="77" t="s">
        <v>119</v>
      </c>
      <c r="E22" s="67">
        <v>2005</v>
      </c>
      <c r="F22" s="78">
        <v>26.865200000000002</v>
      </c>
      <c r="G22" s="78">
        <v>10.153600000000001</v>
      </c>
      <c r="H22" s="78">
        <v>0</v>
      </c>
      <c r="I22" s="78">
        <v>429.55840000000006</v>
      </c>
      <c r="J22" s="78">
        <v>434.46070000000003</v>
      </c>
      <c r="K22" s="78">
        <v>21377.705599999965</v>
      </c>
      <c r="L22" s="78">
        <v>1208.1181999999994</v>
      </c>
      <c r="M22" s="78">
        <v>4353.341599999987</v>
      </c>
      <c r="N22" s="78">
        <v>1537.6554000000006</v>
      </c>
      <c r="O22" s="78">
        <v>1246.0287999999996</v>
      </c>
      <c r="P22" s="78">
        <v>30623.887500000001</v>
      </c>
    </row>
    <row r="23" spans="2:20" hidden="1">
      <c r="B23" s="79"/>
      <c r="C23" s="80"/>
      <c r="D23" s="81" t="s">
        <v>119</v>
      </c>
      <c r="E23" s="67">
        <v>2006</v>
      </c>
      <c r="F23" s="78">
        <v>2.1435</v>
      </c>
      <c r="G23" s="78">
        <v>2.4047999999999994</v>
      </c>
      <c r="H23" s="78">
        <v>0</v>
      </c>
      <c r="I23" s="78">
        <v>401.16540000000003</v>
      </c>
      <c r="J23" s="78">
        <v>291.83620000000002</v>
      </c>
      <c r="K23" s="78">
        <v>20626.322299999978</v>
      </c>
      <c r="L23" s="78">
        <v>1117.7124000000001</v>
      </c>
      <c r="M23" s="78">
        <v>4445.6175000000057</v>
      </c>
      <c r="N23" s="78">
        <v>1227.8313000000001</v>
      </c>
      <c r="O23" s="78">
        <v>1216.2366</v>
      </c>
      <c r="P23" s="78">
        <v>29331.269999999942</v>
      </c>
    </row>
    <row r="24" spans="2:20" hidden="1">
      <c r="B24" s="79"/>
      <c r="C24" s="80"/>
      <c r="D24" s="81" t="s">
        <v>119</v>
      </c>
      <c r="E24" s="67">
        <v>2007</v>
      </c>
      <c r="F24" s="78">
        <v>1.1432</v>
      </c>
      <c r="G24" s="78">
        <v>0</v>
      </c>
      <c r="H24" s="78">
        <v>0</v>
      </c>
      <c r="I24" s="78">
        <v>393.90440000000001</v>
      </c>
      <c r="J24" s="78">
        <v>176.10620000000006</v>
      </c>
      <c r="K24" s="78">
        <v>21191.63229999999</v>
      </c>
      <c r="L24" s="78">
        <v>1182.1043000000004</v>
      </c>
      <c r="M24" s="78">
        <v>4666.7615000000033</v>
      </c>
      <c r="N24" s="78">
        <v>1193.7041999999999</v>
      </c>
      <c r="O24" s="78">
        <v>1314.3742999999999</v>
      </c>
      <c r="P24" s="78">
        <v>30119.730399999982</v>
      </c>
    </row>
    <row r="25" spans="2:20">
      <c r="B25" s="79"/>
      <c r="C25" s="123" t="s">
        <v>112</v>
      </c>
      <c r="D25" s="94" t="s">
        <v>119</v>
      </c>
      <c r="E25" s="95">
        <v>2006</v>
      </c>
      <c r="F25" s="96">
        <v>2.1435</v>
      </c>
      <c r="G25" s="96">
        <v>2.4047999999999994</v>
      </c>
      <c r="H25" s="96">
        <v>0</v>
      </c>
      <c r="I25" s="96">
        <v>401.16540000000009</v>
      </c>
      <c r="J25" s="96">
        <v>291.83620000000002</v>
      </c>
      <c r="K25" s="96">
        <v>20626.322299999996</v>
      </c>
      <c r="L25" s="96">
        <v>1117.7124000000001</v>
      </c>
      <c r="M25" s="96">
        <v>4445.6175000000048</v>
      </c>
      <c r="N25" s="96">
        <v>1227.8312999999996</v>
      </c>
      <c r="O25" s="96">
        <v>1216.2427999999998</v>
      </c>
      <c r="P25" s="96">
        <v>29331.276199999924</v>
      </c>
      <c r="Q25" s="97">
        <f>O25</f>
        <v>1216.2427999999998</v>
      </c>
      <c r="R25" s="97">
        <f>SUM(L25:N25)</f>
        <v>6791.161200000005</v>
      </c>
      <c r="S25" s="97">
        <f>SUM(F25:K25)</f>
        <v>21323.872199999998</v>
      </c>
      <c r="T25" s="98">
        <f t="shared" ref="T25:T97" si="0">(10*Q25)+(3*R25)+S25</f>
        <v>53859.783800000012</v>
      </c>
    </row>
    <row r="26" spans="2:20">
      <c r="B26" s="79"/>
      <c r="C26" s="123" t="s">
        <v>112</v>
      </c>
      <c r="D26" s="94" t="s">
        <v>119</v>
      </c>
      <c r="E26" s="95">
        <v>2007</v>
      </c>
      <c r="F26" s="96">
        <v>1.1432</v>
      </c>
      <c r="G26" s="96">
        <v>0</v>
      </c>
      <c r="H26" s="96">
        <v>0</v>
      </c>
      <c r="I26" s="96">
        <v>393.90440000000001</v>
      </c>
      <c r="J26" s="96">
        <v>176.10620000000003</v>
      </c>
      <c r="K26" s="96">
        <v>21191.632299999997</v>
      </c>
      <c r="L26" s="96">
        <v>1182.1043000000004</v>
      </c>
      <c r="M26" s="96">
        <v>4666.7615000000042</v>
      </c>
      <c r="N26" s="96">
        <v>1193.7041999999997</v>
      </c>
      <c r="O26" s="96">
        <v>1314.3742999999997</v>
      </c>
      <c r="P26" s="96">
        <v>30119.73039999996</v>
      </c>
      <c r="Q26" s="97">
        <f>O26</f>
        <v>1314.3742999999997</v>
      </c>
      <c r="R26" s="97">
        <f>SUM(L26:N26)</f>
        <v>7042.5700000000052</v>
      </c>
      <c r="S26" s="97">
        <f>SUM(F26:K26)</f>
        <v>21762.786099999998</v>
      </c>
      <c r="T26" s="98">
        <f t="shared" si="0"/>
        <v>56034.239100000006</v>
      </c>
    </row>
    <row r="27" spans="2:20" s="99" customFormat="1">
      <c r="B27" s="90"/>
      <c r="C27" s="123" t="s">
        <v>112</v>
      </c>
      <c r="D27" s="94" t="s">
        <v>119</v>
      </c>
      <c r="E27" s="95">
        <v>2008</v>
      </c>
      <c r="F27" s="96">
        <v>0</v>
      </c>
      <c r="G27" s="96">
        <v>0</v>
      </c>
      <c r="H27" s="96">
        <v>0</v>
      </c>
      <c r="I27" s="96">
        <v>340.27710000000002</v>
      </c>
      <c r="J27" s="96">
        <v>97.860299999999995</v>
      </c>
      <c r="K27" s="96">
        <v>20946.176799999987</v>
      </c>
      <c r="L27" s="96">
        <v>1187.9192</v>
      </c>
      <c r="M27" s="96">
        <v>4886.7862000000068</v>
      </c>
      <c r="N27" s="96">
        <v>1260.4853000000001</v>
      </c>
      <c r="O27" s="96">
        <v>1356.1458000000002</v>
      </c>
      <c r="P27" s="96">
        <v>30075.650699999969</v>
      </c>
      <c r="Q27" s="97">
        <f>O27</f>
        <v>1356.1458000000002</v>
      </c>
      <c r="R27" s="97">
        <f>SUM(L27:N27)</f>
        <v>7335.1907000000074</v>
      </c>
      <c r="S27" s="97">
        <f>SUM(F27:K27)</f>
        <v>21384.314199999986</v>
      </c>
      <c r="T27" s="98">
        <f t="shared" si="0"/>
        <v>56951.344300000012</v>
      </c>
    </row>
    <row r="28" spans="2:20" s="99" customFormat="1">
      <c r="B28" s="90"/>
      <c r="C28" s="123" t="s">
        <v>112</v>
      </c>
      <c r="D28" s="94" t="s">
        <v>119</v>
      </c>
      <c r="E28" s="95">
        <v>2009</v>
      </c>
      <c r="F28" s="96">
        <v>0</v>
      </c>
      <c r="G28" s="96">
        <v>0</v>
      </c>
      <c r="H28" s="96">
        <v>0</v>
      </c>
      <c r="I28" s="96">
        <v>368.55529999999999</v>
      </c>
      <c r="J28" s="96">
        <v>49.459299999999999</v>
      </c>
      <c r="K28" s="96">
        <v>21687.334799999961</v>
      </c>
      <c r="L28" s="96">
        <v>1396.3667999999998</v>
      </c>
      <c r="M28" s="96">
        <v>5065.0262000000102</v>
      </c>
      <c r="N28" s="96">
        <v>1574.777</v>
      </c>
      <c r="O28" s="96">
        <v>1439.1974</v>
      </c>
      <c r="P28" s="96">
        <v>31580.716799999929</v>
      </c>
      <c r="Q28" s="97">
        <f t="shared" ref="Q28:Q60" si="1">O28</f>
        <v>1439.1974</v>
      </c>
      <c r="R28" s="97">
        <f t="shared" ref="R28:R60" si="2">SUM(L28:N28)</f>
        <v>8036.1700000000101</v>
      </c>
      <c r="S28" s="97">
        <f t="shared" ref="S28:S53" si="3">SUM(F28:K28)</f>
        <v>22105.349399999959</v>
      </c>
      <c r="T28" s="98">
        <f t="shared" si="0"/>
        <v>60605.833399999989</v>
      </c>
    </row>
    <row r="29" spans="2:20" s="99" customFormat="1">
      <c r="B29" s="90"/>
      <c r="C29" s="123" t="s">
        <v>112</v>
      </c>
      <c r="D29" s="94" t="s">
        <v>119</v>
      </c>
      <c r="E29" s="95">
        <v>2010</v>
      </c>
      <c r="F29" s="96">
        <v>0</v>
      </c>
      <c r="G29" s="96">
        <v>0</v>
      </c>
      <c r="H29" s="96">
        <v>0</v>
      </c>
      <c r="I29" s="96">
        <v>349.22730000000001</v>
      </c>
      <c r="J29" s="96">
        <v>57.666800000000002</v>
      </c>
      <c r="K29" s="96">
        <v>22277.205199999968</v>
      </c>
      <c r="L29" s="96">
        <v>1301.5897999999995</v>
      </c>
      <c r="M29" s="96">
        <v>5359.8363000000109</v>
      </c>
      <c r="N29" s="96">
        <v>1675.0394000000001</v>
      </c>
      <c r="O29" s="96">
        <v>1524.1056000000003</v>
      </c>
      <c r="P29" s="96">
        <v>32544.670399999937</v>
      </c>
      <c r="Q29" s="97">
        <f t="shared" si="1"/>
        <v>1524.1056000000003</v>
      </c>
      <c r="R29" s="97">
        <f t="shared" si="2"/>
        <v>8336.4655000000112</v>
      </c>
      <c r="S29" s="97">
        <f t="shared" si="3"/>
        <v>22684.099299999969</v>
      </c>
      <c r="T29" s="98">
        <f t="shared" si="0"/>
        <v>62934.551800000001</v>
      </c>
    </row>
    <row r="30" spans="2:20" s="99" customFormat="1">
      <c r="B30" s="90"/>
      <c r="C30" s="123" t="s">
        <v>112</v>
      </c>
      <c r="D30" s="94" t="s">
        <v>119</v>
      </c>
      <c r="E30" s="95">
        <v>2011</v>
      </c>
      <c r="F30" s="96">
        <v>0</v>
      </c>
      <c r="G30" s="96">
        <v>0</v>
      </c>
      <c r="H30" s="96">
        <v>0</v>
      </c>
      <c r="I30" s="96">
        <v>377.12379999999996</v>
      </c>
      <c r="J30" s="96">
        <v>34</v>
      </c>
      <c r="K30" s="96">
        <v>22293.988199999971</v>
      </c>
      <c r="L30" s="96">
        <v>1032.2898000000002</v>
      </c>
      <c r="M30" s="96">
        <v>5070.4955000000054</v>
      </c>
      <c r="N30" s="96">
        <v>1726.8221999999998</v>
      </c>
      <c r="O30" s="96">
        <v>1587.1396999999999</v>
      </c>
      <c r="P30" s="96">
        <v>32121.859199999923</v>
      </c>
      <c r="Q30" s="97">
        <f t="shared" si="1"/>
        <v>1587.1396999999999</v>
      </c>
      <c r="R30" s="97">
        <f t="shared" si="2"/>
        <v>7829.6075000000055</v>
      </c>
      <c r="S30" s="97">
        <f t="shared" si="3"/>
        <v>22705.111999999972</v>
      </c>
      <c r="T30" s="98">
        <f t="shared" si="0"/>
        <v>62065.331499999986</v>
      </c>
    </row>
    <row r="31" spans="2:20" s="99" customFormat="1">
      <c r="B31" s="90"/>
      <c r="C31" s="533" t="s">
        <v>112</v>
      </c>
      <c r="D31" s="94" t="s">
        <v>119</v>
      </c>
      <c r="E31" s="100">
        <v>2012</v>
      </c>
      <c r="F31" s="101">
        <v>0</v>
      </c>
      <c r="G31" s="101">
        <v>0</v>
      </c>
      <c r="H31" s="101">
        <v>0</v>
      </c>
      <c r="I31" s="101">
        <v>411.86160000000001</v>
      </c>
      <c r="J31" s="101">
        <v>25.625</v>
      </c>
      <c r="K31" s="101">
        <v>22353.260099999959</v>
      </c>
      <c r="L31" s="101">
        <v>965.14380000000051</v>
      </c>
      <c r="M31" s="101">
        <v>5394.1915000000072</v>
      </c>
      <c r="N31" s="101">
        <v>1739.5087000000003</v>
      </c>
      <c r="O31" s="101">
        <v>1712.1895000000004</v>
      </c>
      <c r="P31" s="101">
        <v>32601.780199999972</v>
      </c>
      <c r="Q31" s="97">
        <f t="shared" si="1"/>
        <v>1712.1895000000004</v>
      </c>
      <c r="R31" s="97">
        <f t="shared" si="2"/>
        <v>8098.8440000000082</v>
      </c>
      <c r="S31" s="97">
        <f t="shared" si="3"/>
        <v>22790.74669999996</v>
      </c>
      <c r="T31" s="98">
        <f t="shared" si="0"/>
        <v>64209.173699999985</v>
      </c>
    </row>
    <row r="32" spans="2:20" s="99" customFormat="1">
      <c r="B32" s="90"/>
      <c r="C32" s="123" t="s">
        <v>112</v>
      </c>
      <c r="D32" s="534" t="s">
        <v>119</v>
      </c>
      <c r="E32" s="524">
        <v>2013</v>
      </c>
      <c r="F32" s="525">
        <v>0</v>
      </c>
      <c r="G32" s="525">
        <v>0</v>
      </c>
      <c r="H32" s="525">
        <v>0</v>
      </c>
      <c r="I32" s="525">
        <v>457.33530000000002</v>
      </c>
      <c r="J32" s="525">
        <v>19.375</v>
      </c>
      <c r="K32" s="525">
        <v>22518.798199999983</v>
      </c>
      <c r="L32" s="525">
        <v>887.68590000000017</v>
      </c>
      <c r="M32" s="525">
        <v>5573.1367000000082</v>
      </c>
      <c r="N32" s="525">
        <v>1777.6215999999999</v>
      </c>
      <c r="O32" s="525">
        <v>1794.2705000000003</v>
      </c>
      <c r="P32" s="525">
        <v>33028.2232</v>
      </c>
      <c r="Q32" s="526">
        <f t="shared" si="1"/>
        <v>1794.2705000000003</v>
      </c>
      <c r="R32" s="526">
        <f t="shared" si="2"/>
        <v>8238.444200000009</v>
      </c>
      <c r="S32" s="526">
        <f t="shared" si="3"/>
        <v>22995.508499999982</v>
      </c>
      <c r="T32" s="527">
        <f t="shared" si="0"/>
        <v>65653.546100000007</v>
      </c>
    </row>
    <row r="33" spans="2:20" hidden="1">
      <c r="B33" s="79"/>
      <c r="C33" s="124" t="s">
        <v>120</v>
      </c>
      <c r="D33" s="77" t="s">
        <v>179</v>
      </c>
      <c r="E33" s="87">
        <v>2005</v>
      </c>
      <c r="F33" s="132">
        <v>0</v>
      </c>
      <c r="G33" s="132">
        <v>0</v>
      </c>
      <c r="H33" s="132">
        <v>74.674999999999983</v>
      </c>
      <c r="I33" s="132">
        <v>99.75</v>
      </c>
      <c r="J33" s="132">
        <v>6.2097000000000007</v>
      </c>
      <c r="K33" s="132">
        <v>5784.1076999999714</v>
      </c>
      <c r="L33" s="132">
        <v>347.83850000000001</v>
      </c>
      <c r="M33" s="132">
        <v>655.03910000000008</v>
      </c>
      <c r="N33" s="132">
        <v>408.71609999999998</v>
      </c>
      <c r="O33" s="132">
        <v>278.08460000000008</v>
      </c>
      <c r="P33" s="132">
        <v>7654.4206999999606</v>
      </c>
      <c r="Q33" s="84">
        <f t="shared" si="1"/>
        <v>278.08460000000008</v>
      </c>
      <c r="R33" s="84">
        <f t="shared" si="2"/>
        <v>1411.5936999999999</v>
      </c>
      <c r="S33" s="97">
        <f t="shared" si="3"/>
        <v>5964.742399999971</v>
      </c>
      <c r="T33" s="64">
        <f t="shared" si="0"/>
        <v>12980.369499999972</v>
      </c>
    </row>
    <row r="34" spans="2:20" hidden="1">
      <c r="B34" s="79"/>
      <c r="C34" s="124"/>
      <c r="D34" s="81" t="s">
        <v>180</v>
      </c>
      <c r="E34" s="87">
        <v>2006</v>
      </c>
      <c r="F34" s="132">
        <v>0</v>
      </c>
      <c r="G34" s="132">
        <v>0</v>
      </c>
      <c r="H34" s="132">
        <v>50.819999999999986</v>
      </c>
      <c r="I34" s="132">
        <v>149</v>
      </c>
      <c r="J34" s="132">
        <v>6.1879999999999997</v>
      </c>
      <c r="K34" s="132">
        <v>5687.282599999965</v>
      </c>
      <c r="L34" s="132">
        <v>325.29699999999997</v>
      </c>
      <c r="M34" s="132">
        <v>614.27969999999982</v>
      </c>
      <c r="N34" s="132">
        <v>381.09300000000002</v>
      </c>
      <c r="O34" s="132">
        <v>285.83369999999996</v>
      </c>
      <c r="P34" s="132">
        <v>7499.7939999999608</v>
      </c>
      <c r="Q34" s="84">
        <f t="shared" si="1"/>
        <v>285.83369999999996</v>
      </c>
      <c r="R34" s="84">
        <f t="shared" si="2"/>
        <v>1320.6696999999999</v>
      </c>
      <c r="S34" s="97">
        <f t="shared" si="3"/>
        <v>5893.2905999999648</v>
      </c>
      <c r="T34" s="64">
        <f t="shared" si="0"/>
        <v>12713.636699999963</v>
      </c>
    </row>
    <row r="35" spans="2:20" hidden="1">
      <c r="B35" s="79"/>
      <c r="C35" s="124"/>
      <c r="D35" s="81" t="s">
        <v>180</v>
      </c>
      <c r="E35" s="87">
        <v>2007</v>
      </c>
      <c r="F35" s="132">
        <v>0</v>
      </c>
      <c r="G35" s="132">
        <v>0</v>
      </c>
      <c r="H35" s="132">
        <v>56.379999999999988</v>
      </c>
      <c r="I35" s="132">
        <v>172.66669999999999</v>
      </c>
      <c r="J35" s="132">
        <v>21.919699999999995</v>
      </c>
      <c r="K35" s="132">
        <v>5752.4822999999724</v>
      </c>
      <c r="L35" s="132">
        <v>290.9194</v>
      </c>
      <c r="M35" s="132">
        <v>662.01260000000013</v>
      </c>
      <c r="N35" s="132">
        <v>373.34909999999996</v>
      </c>
      <c r="O35" s="132">
        <v>286.14220000000006</v>
      </c>
      <c r="P35" s="132">
        <v>7615.8719999999448</v>
      </c>
      <c r="Q35" s="84">
        <f t="shared" si="1"/>
        <v>286.14220000000006</v>
      </c>
      <c r="R35" s="84">
        <f t="shared" si="2"/>
        <v>1326.2811000000002</v>
      </c>
      <c r="S35" s="97">
        <f t="shared" si="3"/>
        <v>6003.4486999999726</v>
      </c>
      <c r="T35" s="64">
        <f t="shared" si="0"/>
        <v>12843.713999999974</v>
      </c>
    </row>
    <row r="36" spans="2:20" hidden="1">
      <c r="B36" s="79"/>
      <c r="C36" s="124"/>
      <c r="D36" s="81" t="s">
        <v>180</v>
      </c>
      <c r="E36" s="87">
        <v>2008</v>
      </c>
      <c r="F36" s="132">
        <v>0</v>
      </c>
      <c r="G36" s="132">
        <v>0</v>
      </c>
      <c r="H36" s="132">
        <v>49.014999999999986</v>
      </c>
      <c r="I36" s="132">
        <v>137</v>
      </c>
      <c r="J36" s="132">
        <v>52.591699999999996</v>
      </c>
      <c r="K36" s="132">
        <v>5787.0102999999644</v>
      </c>
      <c r="L36" s="132">
        <v>381.07520000000005</v>
      </c>
      <c r="M36" s="132">
        <v>666.09350000000029</v>
      </c>
      <c r="N36" s="132">
        <v>375.77270000000004</v>
      </c>
      <c r="O36" s="132">
        <v>269.58730000000003</v>
      </c>
      <c r="P36" s="132">
        <v>7718.1456999999518</v>
      </c>
      <c r="Q36" s="84">
        <f t="shared" si="1"/>
        <v>269.58730000000003</v>
      </c>
      <c r="R36" s="84">
        <f t="shared" si="2"/>
        <v>1422.9414000000004</v>
      </c>
      <c r="S36" s="97">
        <f t="shared" si="3"/>
        <v>6025.6169999999647</v>
      </c>
      <c r="T36" s="64">
        <f t="shared" si="0"/>
        <v>12990.314199999966</v>
      </c>
    </row>
    <row r="37" spans="2:20" hidden="1">
      <c r="B37" s="79"/>
      <c r="C37" s="124"/>
      <c r="D37" s="81" t="s">
        <v>180</v>
      </c>
      <c r="E37" s="87">
        <v>2009</v>
      </c>
      <c r="F37" s="132">
        <v>0</v>
      </c>
      <c r="G37" s="132">
        <v>0</v>
      </c>
      <c r="H37" s="132">
        <v>68.114999999999995</v>
      </c>
      <c r="I37" s="132">
        <v>216.25</v>
      </c>
      <c r="J37" s="132">
        <v>65.302099999999996</v>
      </c>
      <c r="K37" s="132">
        <v>6281.186999999959</v>
      </c>
      <c r="L37" s="132">
        <v>525.28440000000012</v>
      </c>
      <c r="M37" s="132">
        <v>684.15870000000018</v>
      </c>
      <c r="N37" s="132">
        <v>401.9538</v>
      </c>
      <c r="O37" s="132">
        <v>269.23020000000002</v>
      </c>
      <c r="P37" s="132">
        <v>8511.4811999999492</v>
      </c>
      <c r="Q37" s="84">
        <f t="shared" si="1"/>
        <v>269.23020000000002</v>
      </c>
      <c r="R37" s="84">
        <f t="shared" si="2"/>
        <v>1611.3969000000004</v>
      </c>
      <c r="S37" s="97">
        <f t="shared" si="3"/>
        <v>6630.8540999999586</v>
      </c>
      <c r="T37" s="64">
        <f t="shared" si="0"/>
        <v>14157.346799999959</v>
      </c>
    </row>
    <row r="38" spans="2:20" hidden="1">
      <c r="B38" s="79"/>
      <c r="C38" s="124"/>
      <c r="D38" s="81" t="s">
        <v>180</v>
      </c>
      <c r="E38" s="87">
        <v>2010</v>
      </c>
      <c r="F38" s="132">
        <v>0</v>
      </c>
      <c r="G38" s="132">
        <v>0</v>
      </c>
      <c r="H38" s="132">
        <v>2.5199999999999996</v>
      </c>
      <c r="I38" s="132">
        <v>36.375</v>
      </c>
      <c r="J38" s="132">
        <v>74.388499999999993</v>
      </c>
      <c r="K38" s="132">
        <v>6309.8462999999683</v>
      </c>
      <c r="L38" s="132">
        <v>539.64290000000051</v>
      </c>
      <c r="M38" s="132">
        <v>680.76620000000003</v>
      </c>
      <c r="N38" s="132">
        <v>414.89080000000001</v>
      </c>
      <c r="O38" s="132">
        <v>306.18490000000003</v>
      </c>
      <c r="P38" s="132">
        <v>8364.614599999948</v>
      </c>
      <c r="Q38" s="84">
        <f t="shared" si="1"/>
        <v>306.18490000000003</v>
      </c>
      <c r="R38" s="84">
        <f t="shared" si="2"/>
        <v>1635.2999000000004</v>
      </c>
      <c r="S38" s="97">
        <f t="shared" si="3"/>
        <v>6423.1297999999679</v>
      </c>
      <c r="T38" s="64">
        <f t="shared" si="0"/>
        <v>14390.87849999997</v>
      </c>
    </row>
    <row r="39" spans="2:20" hidden="1">
      <c r="B39" s="79"/>
      <c r="C39" s="124"/>
      <c r="D39" s="81" t="s">
        <v>180</v>
      </c>
      <c r="E39" s="87">
        <v>2011</v>
      </c>
      <c r="F39" s="132">
        <v>0</v>
      </c>
      <c r="G39" s="132">
        <v>0</v>
      </c>
      <c r="H39" s="132">
        <v>0</v>
      </c>
      <c r="I39" s="132">
        <v>0</v>
      </c>
      <c r="J39" s="132">
        <v>73.889099999999985</v>
      </c>
      <c r="K39" s="132">
        <v>6468.0674999999574</v>
      </c>
      <c r="L39" s="132">
        <v>517.7270000000002</v>
      </c>
      <c r="M39" s="132">
        <v>671.12090000000012</v>
      </c>
      <c r="N39" s="132">
        <v>436.13679999999994</v>
      </c>
      <c r="O39" s="132">
        <v>277.80249999999995</v>
      </c>
      <c r="P39" s="132">
        <v>8444.7437999999311</v>
      </c>
      <c r="Q39" s="84">
        <f t="shared" si="1"/>
        <v>277.80249999999995</v>
      </c>
      <c r="R39" s="84">
        <f t="shared" si="2"/>
        <v>1624.9847000000002</v>
      </c>
      <c r="S39" s="97">
        <f t="shared" si="3"/>
        <v>6541.9565999999577</v>
      </c>
      <c r="T39" s="64">
        <f t="shared" si="0"/>
        <v>14194.935699999958</v>
      </c>
    </row>
    <row r="40" spans="2:20" hidden="1">
      <c r="B40" s="79"/>
      <c r="C40" s="124"/>
      <c r="D40" s="81" t="s">
        <v>180</v>
      </c>
      <c r="E40" s="82">
        <v>2012</v>
      </c>
      <c r="F40" s="133">
        <v>0</v>
      </c>
      <c r="G40" s="133">
        <v>0</v>
      </c>
      <c r="H40" s="133">
        <v>0</v>
      </c>
      <c r="I40" s="133">
        <v>0</v>
      </c>
      <c r="J40" s="133">
        <v>78.516000000000005</v>
      </c>
      <c r="K40" s="133">
        <v>6654.9981999999536</v>
      </c>
      <c r="L40" s="133">
        <v>519.61330000000021</v>
      </c>
      <c r="M40" s="133">
        <v>622.46730000000014</v>
      </c>
      <c r="N40" s="133">
        <v>415.73499999999996</v>
      </c>
      <c r="O40" s="133">
        <v>273.14890000000003</v>
      </c>
      <c r="P40" s="133">
        <v>8564.4786999999324</v>
      </c>
      <c r="Q40" s="84">
        <f t="shared" si="1"/>
        <v>273.14890000000003</v>
      </c>
      <c r="R40" s="84">
        <f t="shared" si="2"/>
        <v>1557.8156000000001</v>
      </c>
      <c r="S40" s="97">
        <f t="shared" si="3"/>
        <v>6733.5141999999532</v>
      </c>
      <c r="T40" s="64">
        <f t="shared" si="0"/>
        <v>14138.449999999953</v>
      </c>
    </row>
    <row r="41" spans="2:20" hidden="1">
      <c r="B41" s="79"/>
      <c r="C41" s="124"/>
      <c r="D41" s="77" t="s">
        <v>180</v>
      </c>
      <c r="E41" s="87">
        <v>2005</v>
      </c>
      <c r="F41" s="132">
        <v>0</v>
      </c>
      <c r="G41" s="132">
        <v>0</v>
      </c>
      <c r="H41" s="132">
        <v>175.13999999999996</v>
      </c>
      <c r="I41" s="132">
        <v>54.25</v>
      </c>
      <c r="J41" s="132">
        <v>0</v>
      </c>
      <c r="K41" s="132">
        <v>2060.2858999999976</v>
      </c>
      <c r="L41" s="132">
        <v>60.548099999999991</v>
      </c>
      <c r="M41" s="132">
        <v>145.59700000000001</v>
      </c>
      <c r="N41" s="132">
        <v>134.40130000000002</v>
      </c>
      <c r="O41" s="132">
        <v>31.755699999999997</v>
      </c>
      <c r="P41" s="132">
        <v>2661.9779999999969</v>
      </c>
      <c r="Q41" s="84">
        <f t="shared" si="1"/>
        <v>31.755699999999997</v>
      </c>
      <c r="R41" s="84">
        <f t="shared" si="2"/>
        <v>340.54640000000006</v>
      </c>
      <c r="S41" s="97">
        <f t="shared" si="3"/>
        <v>2289.6758999999975</v>
      </c>
      <c r="T41" s="64">
        <f t="shared" si="0"/>
        <v>3628.8720999999978</v>
      </c>
    </row>
    <row r="42" spans="2:20" hidden="1">
      <c r="B42" s="79"/>
      <c r="C42" s="124"/>
      <c r="D42" s="81" t="s">
        <v>179</v>
      </c>
      <c r="E42" s="87">
        <v>2006</v>
      </c>
      <c r="F42" s="132">
        <v>0</v>
      </c>
      <c r="G42" s="132">
        <v>0</v>
      </c>
      <c r="H42" s="132">
        <v>124.91999999999997</v>
      </c>
      <c r="I42" s="132">
        <v>42.5</v>
      </c>
      <c r="J42" s="132">
        <v>0.33339999999999997</v>
      </c>
      <c r="K42" s="132">
        <v>1770.9540999999995</v>
      </c>
      <c r="L42" s="132">
        <v>35.539000000000001</v>
      </c>
      <c r="M42" s="132">
        <v>108.46040000000001</v>
      </c>
      <c r="N42" s="132">
        <v>119.82379999999999</v>
      </c>
      <c r="O42" s="132">
        <v>61.811599999999991</v>
      </c>
      <c r="P42" s="132">
        <v>2264.3423000000007</v>
      </c>
      <c r="Q42" s="84">
        <f t="shared" si="1"/>
        <v>61.811599999999991</v>
      </c>
      <c r="R42" s="84">
        <f t="shared" si="2"/>
        <v>263.82319999999999</v>
      </c>
      <c r="S42" s="97">
        <f t="shared" si="3"/>
        <v>1938.7074999999995</v>
      </c>
      <c r="T42" s="64">
        <f t="shared" si="0"/>
        <v>3348.2930999999994</v>
      </c>
    </row>
    <row r="43" spans="2:20" hidden="1">
      <c r="B43" s="79"/>
      <c r="C43" s="124"/>
      <c r="D43" s="81" t="s">
        <v>179</v>
      </c>
      <c r="E43" s="87">
        <v>2007</v>
      </c>
      <c r="F43" s="132">
        <v>0</v>
      </c>
      <c r="G43" s="132">
        <v>0</v>
      </c>
      <c r="H43" s="132">
        <v>181.43999999999994</v>
      </c>
      <c r="I43" s="132">
        <v>30.5</v>
      </c>
      <c r="J43" s="132">
        <v>3.2090000000000001</v>
      </c>
      <c r="K43" s="132">
        <v>1198.5564999999995</v>
      </c>
      <c r="L43" s="132">
        <v>26.092899999999997</v>
      </c>
      <c r="M43" s="132">
        <v>99.546599999999998</v>
      </c>
      <c r="N43" s="132">
        <v>75.446900000000014</v>
      </c>
      <c r="O43" s="132">
        <v>94.388299999999987</v>
      </c>
      <c r="P43" s="132">
        <v>1709.1802</v>
      </c>
      <c r="Q43" s="84">
        <f t="shared" si="1"/>
        <v>94.388299999999987</v>
      </c>
      <c r="R43" s="84">
        <f t="shared" si="2"/>
        <v>201.08640000000003</v>
      </c>
      <c r="S43" s="97">
        <f t="shared" si="3"/>
        <v>1413.7054999999993</v>
      </c>
      <c r="T43" s="64">
        <f t="shared" si="0"/>
        <v>2960.8476999999993</v>
      </c>
    </row>
    <row r="44" spans="2:20" hidden="1">
      <c r="B44" s="79"/>
      <c r="C44" s="124"/>
      <c r="D44" s="81" t="s">
        <v>179</v>
      </c>
      <c r="E44" s="87">
        <v>2008</v>
      </c>
      <c r="F44" s="132">
        <v>0</v>
      </c>
      <c r="G44" s="132">
        <v>0</v>
      </c>
      <c r="H44" s="132">
        <v>332.27999999999986</v>
      </c>
      <c r="I44" s="132">
        <v>29.123400000000004</v>
      </c>
      <c r="J44" s="132">
        <v>2.2084000000000001</v>
      </c>
      <c r="K44" s="132">
        <v>915.65740000000028</v>
      </c>
      <c r="L44" s="132">
        <v>33.578900000000004</v>
      </c>
      <c r="M44" s="132">
        <v>98.380599999999987</v>
      </c>
      <c r="N44" s="132">
        <v>64.918700000000001</v>
      </c>
      <c r="O44" s="132">
        <v>125.55699999999999</v>
      </c>
      <c r="P44" s="132">
        <v>1601.7044000000008</v>
      </c>
      <c r="Q44" s="84">
        <f t="shared" si="1"/>
        <v>125.55699999999999</v>
      </c>
      <c r="R44" s="84">
        <f t="shared" si="2"/>
        <v>196.87819999999999</v>
      </c>
      <c r="S44" s="97">
        <f t="shared" si="3"/>
        <v>1279.2692000000002</v>
      </c>
      <c r="T44" s="64">
        <f t="shared" si="0"/>
        <v>3125.4738000000002</v>
      </c>
    </row>
    <row r="45" spans="2:20" hidden="1">
      <c r="B45" s="79"/>
      <c r="C45" s="124"/>
      <c r="D45" s="81" t="s">
        <v>179</v>
      </c>
      <c r="E45" s="87">
        <v>2009</v>
      </c>
      <c r="F45" s="132">
        <v>0</v>
      </c>
      <c r="G45" s="132">
        <v>0</v>
      </c>
      <c r="H45" s="132">
        <v>318.2399999999999</v>
      </c>
      <c r="I45" s="132">
        <v>87.013999999999996</v>
      </c>
      <c r="J45" s="132">
        <v>2.7084999999999999</v>
      </c>
      <c r="K45" s="132">
        <v>874.17659999999989</v>
      </c>
      <c r="L45" s="132">
        <v>50.321499999999993</v>
      </c>
      <c r="M45" s="132">
        <v>132.27699999999999</v>
      </c>
      <c r="N45" s="132">
        <v>107.82529999999997</v>
      </c>
      <c r="O45" s="132">
        <v>146.06319999999997</v>
      </c>
      <c r="P45" s="132">
        <v>1718.6261</v>
      </c>
      <c r="Q45" s="84">
        <f t="shared" si="1"/>
        <v>146.06319999999997</v>
      </c>
      <c r="R45" s="84">
        <f t="shared" si="2"/>
        <v>290.42379999999991</v>
      </c>
      <c r="S45" s="97">
        <f t="shared" si="3"/>
        <v>1282.1390999999999</v>
      </c>
      <c r="T45" s="64">
        <f t="shared" si="0"/>
        <v>3614.0424999999991</v>
      </c>
    </row>
    <row r="46" spans="2:20" hidden="1">
      <c r="B46" s="79"/>
      <c r="C46" s="124"/>
      <c r="D46" s="81" t="s">
        <v>179</v>
      </c>
      <c r="E46" s="87">
        <v>2010</v>
      </c>
      <c r="F46" s="132">
        <v>0</v>
      </c>
      <c r="G46" s="132">
        <v>0</v>
      </c>
      <c r="H46" s="132">
        <v>266.57999999999987</v>
      </c>
      <c r="I46" s="132">
        <v>87.936199999999985</v>
      </c>
      <c r="J46" s="132">
        <v>7.7505999999999995</v>
      </c>
      <c r="K46" s="132">
        <v>831.05539999999974</v>
      </c>
      <c r="L46" s="132">
        <v>58.656199999999977</v>
      </c>
      <c r="M46" s="132">
        <v>141.36959999999999</v>
      </c>
      <c r="N46" s="132">
        <v>147.0616</v>
      </c>
      <c r="O46" s="132">
        <v>166.56179999999998</v>
      </c>
      <c r="P46" s="132">
        <v>1706.9714000000006</v>
      </c>
      <c r="Q46" s="84">
        <f t="shared" si="1"/>
        <v>166.56179999999998</v>
      </c>
      <c r="R46" s="84">
        <f t="shared" si="2"/>
        <v>347.0874</v>
      </c>
      <c r="S46" s="97">
        <f t="shared" si="3"/>
        <v>1193.3221999999996</v>
      </c>
      <c r="T46" s="64">
        <f t="shared" si="0"/>
        <v>3900.2023999999992</v>
      </c>
    </row>
    <row r="47" spans="2:20" hidden="1">
      <c r="B47" s="79"/>
      <c r="C47" s="124"/>
      <c r="D47" s="81" t="s">
        <v>179</v>
      </c>
      <c r="E47" s="87">
        <v>2011</v>
      </c>
      <c r="F47" s="132">
        <v>0</v>
      </c>
      <c r="G47" s="132">
        <v>0</v>
      </c>
      <c r="H47" s="132">
        <v>219.14999999999995</v>
      </c>
      <c r="I47" s="132">
        <v>85.312599999999989</v>
      </c>
      <c r="J47" s="132">
        <v>1.6249999999999998</v>
      </c>
      <c r="K47" s="132">
        <v>808.63190000000031</v>
      </c>
      <c r="L47" s="132">
        <v>62.973599999999998</v>
      </c>
      <c r="M47" s="132">
        <v>141.17320000000001</v>
      </c>
      <c r="N47" s="132">
        <v>130.22410000000002</v>
      </c>
      <c r="O47" s="132">
        <v>210.3689</v>
      </c>
      <c r="P47" s="132">
        <v>1659.4593</v>
      </c>
      <c r="Q47" s="84">
        <f t="shared" si="1"/>
        <v>210.3689</v>
      </c>
      <c r="R47" s="84">
        <f t="shared" si="2"/>
        <v>334.37090000000001</v>
      </c>
      <c r="S47" s="97">
        <f t="shared" si="3"/>
        <v>1114.7195000000002</v>
      </c>
      <c r="T47" s="64">
        <f t="shared" si="0"/>
        <v>4221.5212000000001</v>
      </c>
    </row>
    <row r="48" spans="2:20" hidden="1">
      <c r="B48" s="79"/>
      <c r="C48" s="124"/>
      <c r="D48" s="81" t="s">
        <v>179</v>
      </c>
      <c r="E48" s="82">
        <v>2012</v>
      </c>
      <c r="F48" s="133">
        <v>0</v>
      </c>
      <c r="G48" s="133">
        <v>0</v>
      </c>
      <c r="H48" s="133">
        <v>208.43999999999994</v>
      </c>
      <c r="I48" s="133">
        <v>72.375399999999999</v>
      </c>
      <c r="J48" s="133">
        <v>0.41689999999999999</v>
      </c>
      <c r="K48" s="133">
        <v>796.93189999999993</v>
      </c>
      <c r="L48" s="133">
        <v>37.9039</v>
      </c>
      <c r="M48" s="133">
        <v>139.80780000000001</v>
      </c>
      <c r="N48" s="133">
        <v>132.99930000000001</v>
      </c>
      <c r="O48" s="133">
        <v>211.57259999999999</v>
      </c>
      <c r="P48" s="133">
        <v>1600.4478000000001</v>
      </c>
      <c r="Q48" s="84">
        <f t="shared" si="1"/>
        <v>211.57259999999999</v>
      </c>
      <c r="R48" s="84">
        <f t="shared" si="2"/>
        <v>310.71100000000001</v>
      </c>
      <c r="S48" s="97">
        <f t="shared" si="3"/>
        <v>1078.1641999999999</v>
      </c>
      <c r="T48" s="64">
        <f t="shared" si="0"/>
        <v>4126.0232000000005</v>
      </c>
    </row>
    <row r="49" spans="2:20" hidden="1">
      <c r="B49" s="79"/>
      <c r="C49" s="124"/>
      <c r="D49" s="77" t="s">
        <v>119</v>
      </c>
      <c r="E49" s="87">
        <v>2005</v>
      </c>
      <c r="F49" s="132">
        <v>0</v>
      </c>
      <c r="G49" s="132">
        <v>0</v>
      </c>
      <c r="H49" s="132">
        <v>249.81499999999994</v>
      </c>
      <c r="I49" s="132">
        <v>154</v>
      </c>
      <c r="J49" s="132">
        <v>6.2097000000000007</v>
      </c>
      <c r="K49" s="132">
        <v>7844.3935999999685</v>
      </c>
      <c r="L49" s="132">
        <v>408.38659999999999</v>
      </c>
      <c r="M49" s="132">
        <v>800.63610000000006</v>
      </c>
      <c r="N49" s="132">
        <v>543.11739999999998</v>
      </c>
      <c r="O49" s="132">
        <v>309.84030000000007</v>
      </c>
      <c r="P49" s="132">
        <v>10316.398699999958</v>
      </c>
      <c r="Q49" s="84">
        <f t="shared" si="1"/>
        <v>309.84030000000007</v>
      </c>
      <c r="R49" s="84">
        <f t="shared" si="2"/>
        <v>1752.1401000000001</v>
      </c>
      <c r="S49" s="97">
        <f t="shared" si="3"/>
        <v>8254.4182999999684</v>
      </c>
      <c r="T49" s="64">
        <f t="shared" si="0"/>
        <v>16609.241599999968</v>
      </c>
    </row>
    <row r="50" spans="2:20" hidden="1">
      <c r="B50" s="79"/>
      <c r="C50" s="124"/>
      <c r="D50" s="81" t="s">
        <v>119</v>
      </c>
      <c r="E50" s="87">
        <v>2006</v>
      </c>
      <c r="F50" s="132">
        <v>0</v>
      </c>
      <c r="G50" s="132">
        <v>0</v>
      </c>
      <c r="H50" s="132">
        <v>175.73999999999995</v>
      </c>
      <c r="I50" s="132">
        <v>191.5</v>
      </c>
      <c r="J50" s="132">
        <v>6.5213999999999999</v>
      </c>
      <c r="K50" s="132">
        <v>7458.2366999999649</v>
      </c>
      <c r="L50" s="132">
        <v>360.83599999999996</v>
      </c>
      <c r="M50" s="132">
        <v>722.74009999999987</v>
      </c>
      <c r="N50" s="132">
        <v>500.91680000000002</v>
      </c>
      <c r="O50" s="132">
        <v>347.64529999999996</v>
      </c>
      <c r="P50" s="132">
        <v>9764.1362999999619</v>
      </c>
      <c r="Q50" s="84">
        <f t="shared" si="1"/>
        <v>347.64529999999996</v>
      </c>
      <c r="R50" s="84">
        <f t="shared" si="2"/>
        <v>1584.4928999999997</v>
      </c>
      <c r="S50" s="97">
        <f t="shared" si="3"/>
        <v>7831.9980999999652</v>
      </c>
      <c r="T50" s="64">
        <f t="shared" si="0"/>
        <v>16061.929799999965</v>
      </c>
    </row>
    <row r="51" spans="2:20" hidden="1">
      <c r="B51" s="79"/>
      <c r="C51" s="124"/>
      <c r="D51" s="81" t="s">
        <v>119</v>
      </c>
      <c r="E51" s="87">
        <v>2007</v>
      </c>
      <c r="F51" s="132">
        <v>0</v>
      </c>
      <c r="G51" s="132">
        <v>0</v>
      </c>
      <c r="H51" s="132">
        <v>237.81999999999994</v>
      </c>
      <c r="I51" s="132">
        <v>203.16669999999999</v>
      </c>
      <c r="J51" s="132">
        <v>25.128699999999995</v>
      </c>
      <c r="K51" s="132">
        <v>6951.0387999999721</v>
      </c>
      <c r="L51" s="132">
        <v>317.01229999999998</v>
      </c>
      <c r="M51" s="132">
        <v>761.55920000000015</v>
      </c>
      <c r="N51" s="132">
        <v>448.79599999999999</v>
      </c>
      <c r="O51" s="132">
        <v>380.53050000000007</v>
      </c>
      <c r="P51" s="132">
        <v>9325.0521999999455</v>
      </c>
      <c r="Q51" s="84">
        <f t="shared" si="1"/>
        <v>380.53050000000007</v>
      </c>
      <c r="R51" s="84">
        <f t="shared" si="2"/>
        <v>1527.3675000000001</v>
      </c>
      <c r="S51" s="97">
        <f t="shared" si="3"/>
        <v>7417.1541999999718</v>
      </c>
      <c r="T51" s="64">
        <f t="shared" si="0"/>
        <v>15804.561699999973</v>
      </c>
    </row>
    <row r="52" spans="2:20">
      <c r="B52" s="79"/>
      <c r="C52" s="127" t="s">
        <v>120</v>
      </c>
      <c r="D52" s="128" t="s">
        <v>119</v>
      </c>
      <c r="E52" s="107">
        <v>2006</v>
      </c>
      <c r="F52" s="134">
        <v>0</v>
      </c>
      <c r="G52" s="134">
        <v>0</v>
      </c>
      <c r="H52" s="134">
        <v>175.74000000000012</v>
      </c>
      <c r="I52" s="134">
        <v>191.5</v>
      </c>
      <c r="J52" s="134">
        <v>6.5213999999999999</v>
      </c>
      <c r="K52" s="134">
        <v>7458.236699999964</v>
      </c>
      <c r="L52" s="134">
        <v>360.83600000000001</v>
      </c>
      <c r="M52" s="134">
        <v>722.74009999999998</v>
      </c>
      <c r="N52" s="134">
        <v>500.91680000000002</v>
      </c>
      <c r="O52" s="134">
        <v>347.64529999999996</v>
      </c>
      <c r="P52" s="134">
        <v>9764.1362999999619</v>
      </c>
      <c r="Q52" s="130">
        <f t="shared" si="1"/>
        <v>347.64529999999996</v>
      </c>
      <c r="R52" s="130">
        <f t="shared" si="2"/>
        <v>1584.4929</v>
      </c>
      <c r="S52" s="130">
        <f t="shared" si="3"/>
        <v>7831.9980999999643</v>
      </c>
      <c r="T52" s="131">
        <f t="shared" si="0"/>
        <v>16061.929799999964</v>
      </c>
    </row>
    <row r="53" spans="2:20">
      <c r="B53" s="79"/>
      <c r="C53" s="127" t="s">
        <v>120</v>
      </c>
      <c r="D53" s="128" t="s">
        <v>119</v>
      </c>
      <c r="E53" s="107">
        <v>2007</v>
      </c>
      <c r="F53" s="134">
        <v>0</v>
      </c>
      <c r="G53" s="134">
        <v>0</v>
      </c>
      <c r="H53" s="134">
        <v>237.82000000000005</v>
      </c>
      <c r="I53" s="134">
        <v>203.16669999999996</v>
      </c>
      <c r="J53" s="134">
        <v>25.128700000000006</v>
      </c>
      <c r="K53" s="134">
        <v>6951.0387999999639</v>
      </c>
      <c r="L53" s="134">
        <v>317.01229999999993</v>
      </c>
      <c r="M53" s="134">
        <v>761.55920000000015</v>
      </c>
      <c r="N53" s="134">
        <v>448.79599999999994</v>
      </c>
      <c r="O53" s="134">
        <v>380.53049999999996</v>
      </c>
      <c r="P53" s="134">
        <v>9325.0521999999419</v>
      </c>
      <c r="Q53" s="130">
        <f t="shared" si="1"/>
        <v>380.53049999999996</v>
      </c>
      <c r="R53" s="130">
        <f t="shared" si="2"/>
        <v>1527.3674999999998</v>
      </c>
      <c r="S53" s="130">
        <f t="shared" si="3"/>
        <v>7417.1541999999636</v>
      </c>
      <c r="T53" s="131">
        <f t="shared" si="0"/>
        <v>15804.561699999962</v>
      </c>
    </row>
    <row r="54" spans="2:20" s="125" customFormat="1">
      <c r="B54" s="126"/>
      <c r="C54" s="127" t="s">
        <v>120</v>
      </c>
      <c r="D54" s="128" t="s">
        <v>119</v>
      </c>
      <c r="E54" s="129">
        <v>2008</v>
      </c>
      <c r="F54" s="134">
        <v>0</v>
      </c>
      <c r="G54" s="134">
        <v>0</v>
      </c>
      <c r="H54" s="134">
        <v>381.29499999999985</v>
      </c>
      <c r="I54" s="134">
        <v>166.1234</v>
      </c>
      <c r="J54" s="134">
        <v>54.800099999999993</v>
      </c>
      <c r="K54" s="134">
        <v>6702.6676999999645</v>
      </c>
      <c r="L54" s="134">
        <v>414.65410000000008</v>
      </c>
      <c r="M54" s="134">
        <v>764.47410000000025</v>
      </c>
      <c r="N54" s="134">
        <v>440.69140000000004</v>
      </c>
      <c r="O54" s="134">
        <v>395.14430000000004</v>
      </c>
      <c r="P54" s="134">
        <v>9319.8500999999524</v>
      </c>
      <c r="Q54" s="130">
        <f t="shared" si="1"/>
        <v>395.14430000000004</v>
      </c>
      <c r="R54" s="130">
        <f t="shared" si="2"/>
        <v>1619.8196000000003</v>
      </c>
      <c r="S54" s="130">
        <f>SUM(F54:K54)</f>
        <v>7304.8861999999644</v>
      </c>
      <c r="T54" s="131">
        <f t="shared" si="0"/>
        <v>16115.787999999964</v>
      </c>
    </row>
    <row r="55" spans="2:20" s="125" customFormat="1">
      <c r="B55" s="126"/>
      <c r="C55" s="127" t="s">
        <v>120</v>
      </c>
      <c r="D55" s="128" t="s">
        <v>119</v>
      </c>
      <c r="E55" s="129">
        <v>2009</v>
      </c>
      <c r="F55" s="134">
        <v>0</v>
      </c>
      <c r="G55" s="134">
        <v>0</v>
      </c>
      <c r="H55" s="134">
        <v>386.3549999999999</v>
      </c>
      <c r="I55" s="134">
        <v>303.26400000000001</v>
      </c>
      <c r="J55" s="134">
        <v>68.010599999999997</v>
      </c>
      <c r="K55" s="134">
        <v>7155.3635999999588</v>
      </c>
      <c r="L55" s="134">
        <v>575.60590000000013</v>
      </c>
      <c r="M55" s="134">
        <v>816.43570000000022</v>
      </c>
      <c r="N55" s="134">
        <v>509.77909999999997</v>
      </c>
      <c r="O55" s="134">
        <v>415.29340000000002</v>
      </c>
      <c r="P55" s="134">
        <v>10230.107299999949</v>
      </c>
      <c r="Q55" s="130">
        <f t="shared" si="1"/>
        <v>415.29340000000002</v>
      </c>
      <c r="R55" s="130">
        <f t="shared" si="2"/>
        <v>1901.8207000000004</v>
      </c>
      <c r="S55" s="130">
        <f t="shared" ref="S55:S122" si="4">SUM(F55:K55)</f>
        <v>7912.993199999959</v>
      </c>
      <c r="T55" s="131">
        <f t="shared" si="0"/>
        <v>17771.389299999959</v>
      </c>
    </row>
    <row r="56" spans="2:20" s="125" customFormat="1">
      <c r="B56" s="126"/>
      <c r="C56" s="127" t="s">
        <v>120</v>
      </c>
      <c r="D56" s="128" t="s">
        <v>119</v>
      </c>
      <c r="E56" s="129">
        <v>2010</v>
      </c>
      <c r="F56" s="134">
        <v>0</v>
      </c>
      <c r="G56" s="134">
        <v>0</v>
      </c>
      <c r="H56" s="134">
        <v>269.09999999999985</v>
      </c>
      <c r="I56" s="134">
        <v>124.31119999999999</v>
      </c>
      <c r="J56" s="134">
        <v>82.139099999999999</v>
      </c>
      <c r="K56" s="134">
        <v>7140.9016999999676</v>
      </c>
      <c r="L56" s="134">
        <v>598.29910000000052</v>
      </c>
      <c r="M56" s="134">
        <v>822.13580000000002</v>
      </c>
      <c r="N56" s="134">
        <v>561.95240000000001</v>
      </c>
      <c r="O56" s="134">
        <v>472.74670000000003</v>
      </c>
      <c r="P56" s="134">
        <v>10071.585999999948</v>
      </c>
      <c r="Q56" s="130">
        <f t="shared" si="1"/>
        <v>472.74670000000003</v>
      </c>
      <c r="R56" s="130">
        <f t="shared" si="2"/>
        <v>1982.3873000000008</v>
      </c>
      <c r="S56" s="130">
        <f t="shared" si="4"/>
        <v>7616.4519999999675</v>
      </c>
      <c r="T56" s="131">
        <f t="shared" si="0"/>
        <v>18291.080899999972</v>
      </c>
    </row>
    <row r="57" spans="2:20" s="125" customFormat="1">
      <c r="B57" s="126"/>
      <c r="C57" s="127" t="s">
        <v>120</v>
      </c>
      <c r="D57" s="128" t="s">
        <v>119</v>
      </c>
      <c r="E57" s="129">
        <v>2011</v>
      </c>
      <c r="F57" s="134">
        <v>0</v>
      </c>
      <c r="G57" s="134">
        <v>0</v>
      </c>
      <c r="H57" s="134">
        <v>219.14999999999995</v>
      </c>
      <c r="I57" s="134">
        <v>85.312599999999989</v>
      </c>
      <c r="J57" s="134">
        <v>75.514099999999985</v>
      </c>
      <c r="K57" s="134">
        <v>7276.6993999999577</v>
      </c>
      <c r="L57" s="134">
        <v>580.70060000000024</v>
      </c>
      <c r="M57" s="134">
        <v>812.29410000000007</v>
      </c>
      <c r="N57" s="134">
        <v>566.3608999999999</v>
      </c>
      <c r="O57" s="134">
        <v>488.17139999999995</v>
      </c>
      <c r="P57" s="134">
        <v>10104.203099999932</v>
      </c>
      <c r="Q57" s="130">
        <f t="shared" si="1"/>
        <v>488.17139999999995</v>
      </c>
      <c r="R57" s="130">
        <f t="shared" si="2"/>
        <v>1959.3556000000001</v>
      </c>
      <c r="S57" s="130">
        <f t="shared" si="4"/>
        <v>7656.6760999999578</v>
      </c>
      <c r="T57" s="131">
        <f t="shared" si="0"/>
        <v>18416.456899999957</v>
      </c>
    </row>
    <row r="58" spans="2:20" s="125" customFormat="1">
      <c r="B58" s="126"/>
      <c r="C58" s="535" t="s">
        <v>120</v>
      </c>
      <c r="D58" s="128" t="s">
        <v>119</v>
      </c>
      <c r="E58" s="129">
        <v>2012</v>
      </c>
      <c r="F58" s="134">
        <v>0</v>
      </c>
      <c r="G58" s="134">
        <v>0</v>
      </c>
      <c r="H58" s="134">
        <v>208.43999999999994</v>
      </c>
      <c r="I58" s="134">
        <v>72.375399999999999</v>
      </c>
      <c r="J58" s="134">
        <v>78.932900000000004</v>
      </c>
      <c r="K58" s="134">
        <v>7451.9300999999532</v>
      </c>
      <c r="L58" s="134">
        <v>557.51720000000023</v>
      </c>
      <c r="M58" s="134">
        <v>762.27510000000018</v>
      </c>
      <c r="N58" s="134">
        <v>548.73429999999996</v>
      </c>
      <c r="O58" s="134">
        <v>484.72149999999999</v>
      </c>
      <c r="P58" s="134">
        <v>10164.926499999932</v>
      </c>
      <c r="Q58" s="130">
        <f t="shared" si="1"/>
        <v>484.72149999999999</v>
      </c>
      <c r="R58" s="130">
        <f t="shared" si="2"/>
        <v>1868.5266000000006</v>
      </c>
      <c r="S58" s="130">
        <f t="shared" si="4"/>
        <v>7811.6783999999534</v>
      </c>
      <c r="T58" s="131">
        <f t="shared" si="0"/>
        <v>18264.473199999957</v>
      </c>
    </row>
    <row r="59" spans="2:20" s="125" customFormat="1">
      <c r="B59" s="126"/>
      <c r="C59" s="127" t="s">
        <v>120</v>
      </c>
      <c r="D59" s="536" t="s">
        <v>119</v>
      </c>
      <c r="E59" s="528">
        <v>2013</v>
      </c>
      <c r="F59" s="529">
        <v>0</v>
      </c>
      <c r="G59" s="529">
        <v>0</v>
      </c>
      <c r="H59" s="529">
        <v>183.24</v>
      </c>
      <c r="I59" s="529">
        <v>74.309399999999997</v>
      </c>
      <c r="J59" s="529">
        <v>81.223799999999983</v>
      </c>
      <c r="K59" s="529">
        <v>7159.5257999999512</v>
      </c>
      <c r="L59" s="529">
        <v>449.66110000000009</v>
      </c>
      <c r="M59" s="529">
        <v>1017.1646000000002</v>
      </c>
      <c r="N59" s="529">
        <v>674.26469999999983</v>
      </c>
      <c r="O59" s="529">
        <v>454.31189999999992</v>
      </c>
      <c r="P59" s="529">
        <v>10093.701299999901</v>
      </c>
      <c r="Q59" s="530">
        <f>O59</f>
        <v>454.31189999999992</v>
      </c>
      <c r="R59" s="530">
        <f t="shared" si="2"/>
        <v>2141.0904</v>
      </c>
      <c r="S59" s="530">
        <f t="shared" si="4"/>
        <v>7498.2989999999509</v>
      </c>
      <c r="T59" s="531">
        <f>(10*Q59)+(3*R59)+S59</f>
        <v>18464.68919999995</v>
      </c>
    </row>
    <row r="60" spans="2:20" hidden="1">
      <c r="B60" s="79"/>
      <c r="C60" s="124" t="s">
        <v>121</v>
      </c>
      <c r="D60" s="77" t="s">
        <v>179</v>
      </c>
      <c r="E60" s="87">
        <v>2005</v>
      </c>
      <c r="F60" s="132">
        <v>0</v>
      </c>
      <c r="G60" s="132">
        <v>0</v>
      </c>
      <c r="H60" s="132">
        <v>5.9999999999999991</v>
      </c>
      <c r="I60" s="132">
        <v>362.53539999999998</v>
      </c>
      <c r="J60" s="132">
        <v>761.03189999999995</v>
      </c>
      <c r="K60" s="132">
        <v>11253.082999999997</v>
      </c>
      <c r="L60" s="132">
        <v>1184.7474999999997</v>
      </c>
      <c r="M60" s="132">
        <v>1603.6382000000003</v>
      </c>
      <c r="N60" s="132">
        <v>1151.0691000000004</v>
      </c>
      <c r="O60" s="132">
        <v>522.59839999999997</v>
      </c>
      <c r="P60" s="132">
        <v>16844.703499999989</v>
      </c>
      <c r="Q60" s="84">
        <f t="shared" si="1"/>
        <v>522.59839999999997</v>
      </c>
      <c r="R60" s="84">
        <f t="shared" si="2"/>
        <v>3939.4548000000004</v>
      </c>
      <c r="S60" s="84">
        <f t="shared" si="4"/>
        <v>12382.650299999998</v>
      </c>
      <c r="T60" s="64">
        <f t="shared" si="0"/>
        <v>29426.9987</v>
      </c>
    </row>
    <row r="61" spans="2:20" hidden="1">
      <c r="B61" s="79"/>
      <c r="C61" s="124"/>
      <c r="D61" s="81" t="s">
        <v>180</v>
      </c>
      <c r="E61" s="87">
        <v>2006</v>
      </c>
      <c r="F61" s="132">
        <v>0</v>
      </c>
      <c r="G61" s="132">
        <v>0</v>
      </c>
      <c r="H61" s="132">
        <v>8.9999999999999982</v>
      </c>
      <c r="I61" s="132">
        <v>332.26180000000011</v>
      </c>
      <c r="J61" s="132">
        <v>620.82389999999987</v>
      </c>
      <c r="K61" s="132">
        <v>10627.457499999991</v>
      </c>
      <c r="L61" s="132">
        <v>1136.2004999999997</v>
      </c>
      <c r="M61" s="132">
        <v>1905.3091999999999</v>
      </c>
      <c r="N61" s="132">
        <v>982.01009999999997</v>
      </c>
      <c r="O61" s="132">
        <v>636.33550000000002</v>
      </c>
      <c r="P61" s="132">
        <v>16249.39849999999</v>
      </c>
      <c r="Q61" s="84">
        <f t="shared" ref="Q61:Q81" si="5">O61</f>
        <v>636.33550000000002</v>
      </c>
      <c r="R61" s="84">
        <f t="shared" ref="R61:R81" si="6">SUM(L61:N61)</f>
        <v>4023.5197999999996</v>
      </c>
      <c r="S61" s="84">
        <f t="shared" si="4"/>
        <v>11589.543199999991</v>
      </c>
      <c r="T61" s="64">
        <f t="shared" si="0"/>
        <v>30023.457599999987</v>
      </c>
    </row>
    <row r="62" spans="2:20" hidden="1">
      <c r="B62" s="79"/>
      <c r="C62" s="124"/>
      <c r="D62" s="81" t="s">
        <v>180</v>
      </c>
      <c r="E62" s="87">
        <v>2007</v>
      </c>
      <c r="F62" s="132">
        <v>0</v>
      </c>
      <c r="G62" s="132">
        <v>0</v>
      </c>
      <c r="H62" s="132">
        <v>7.9999999999999991</v>
      </c>
      <c r="I62" s="132">
        <v>270.03410000000002</v>
      </c>
      <c r="J62" s="132">
        <v>602.55679999999995</v>
      </c>
      <c r="K62" s="132">
        <v>10681.190899999991</v>
      </c>
      <c r="L62" s="132">
        <v>1101.7808999999997</v>
      </c>
      <c r="M62" s="132">
        <v>1781.8628999999999</v>
      </c>
      <c r="N62" s="132">
        <v>957.86220000000037</v>
      </c>
      <c r="O62" s="132">
        <v>740.29539999999974</v>
      </c>
      <c r="P62" s="132">
        <v>16143.583199999983</v>
      </c>
      <c r="Q62" s="84">
        <f t="shared" si="5"/>
        <v>740.29539999999974</v>
      </c>
      <c r="R62" s="84">
        <f t="shared" si="6"/>
        <v>3841.5060000000003</v>
      </c>
      <c r="S62" s="84">
        <f t="shared" si="4"/>
        <v>11561.78179999999</v>
      </c>
      <c r="T62" s="64">
        <f t="shared" si="0"/>
        <v>30489.253799999988</v>
      </c>
    </row>
    <row r="63" spans="2:20" hidden="1">
      <c r="B63" s="79"/>
      <c r="C63" s="124"/>
      <c r="D63" s="81" t="s">
        <v>180</v>
      </c>
      <c r="E63" s="87">
        <v>2008</v>
      </c>
      <c r="F63" s="132">
        <v>0</v>
      </c>
      <c r="G63" s="132">
        <v>0</v>
      </c>
      <c r="H63" s="132">
        <v>0</v>
      </c>
      <c r="I63" s="132">
        <v>254.99410000000003</v>
      </c>
      <c r="J63" s="132">
        <v>587.90330000000029</v>
      </c>
      <c r="K63" s="132">
        <v>10654.938599999989</v>
      </c>
      <c r="L63" s="132">
        <v>1057.7419</v>
      </c>
      <c r="M63" s="132">
        <v>1738.2686999999999</v>
      </c>
      <c r="N63" s="132">
        <v>921.70710000000008</v>
      </c>
      <c r="O63" s="132">
        <v>781.62720000000013</v>
      </c>
      <c r="P63" s="132">
        <v>15997.180899999988</v>
      </c>
      <c r="Q63" s="84">
        <f t="shared" si="5"/>
        <v>781.62720000000013</v>
      </c>
      <c r="R63" s="84">
        <f t="shared" si="6"/>
        <v>3717.7176999999997</v>
      </c>
      <c r="S63" s="84">
        <f t="shared" si="4"/>
        <v>11497.835999999988</v>
      </c>
      <c r="T63" s="64">
        <f t="shared" si="0"/>
        <v>30467.261099999989</v>
      </c>
    </row>
    <row r="64" spans="2:20" hidden="1">
      <c r="B64" s="79"/>
      <c r="C64" s="124"/>
      <c r="D64" s="81" t="s">
        <v>180</v>
      </c>
      <c r="E64" s="87">
        <v>2009</v>
      </c>
      <c r="F64" s="132">
        <v>0</v>
      </c>
      <c r="G64" s="132">
        <v>0</v>
      </c>
      <c r="H64" s="132">
        <v>0</v>
      </c>
      <c r="I64" s="132">
        <v>352.78490000000005</v>
      </c>
      <c r="J64" s="132">
        <v>679.46630000000005</v>
      </c>
      <c r="K64" s="132">
        <v>10268.07699999999</v>
      </c>
      <c r="L64" s="132">
        <v>1200.8889999999999</v>
      </c>
      <c r="M64" s="132">
        <v>3112.1559999999995</v>
      </c>
      <c r="N64" s="132">
        <v>882.4118000000002</v>
      </c>
      <c r="O64" s="132">
        <v>847.29349999999931</v>
      </c>
      <c r="P64" s="132">
        <v>17343.078499999985</v>
      </c>
      <c r="Q64" s="84">
        <f t="shared" si="5"/>
        <v>847.29349999999931</v>
      </c>
      <c r="R64" s="84">
        <f t="shared" si="6"/>
        <v>5195.456799999999</v>
      </c>
      <c r="S64" s="84">
        <f t="shared" si="4"/>
        <v>11300.328199999991</v>
      </c>
      <c r="T64" s="64">
        <f t="shared" si="0"/>
        <v>35359.633599999979</v>
      </c>
    </row>
    <row r="65" spans="2:20" hidden="1">
      <c r="B65" s="79"/>
      <c r="C65" s="124"/>
      <c r="D65" s="81" t="s">
        <v>180</v>
      </c>
      <c r="E65" s="87">
        <v>2010</v>
      </c>
      <c r="F65" s="132">
        <v>0</v>
      </c>
      <c r="G65" s="132">
        <v>0</v>
      </c>
      <c r="H65" s="132">
        <v>0</v>
      </c>
      <c r="I65" s="132">
        <v>379.85419999999988</v>
      </c>
      <c r="J65" s="132">
        <v>634.54859999999985</v>
      </c>
      <c r="K65" s="132">
        <v>10242.679100000016</v>
      </c>
      <c r="L65" s="132">
        <v>1244.7767999999994</v>
      </c>
      <c r="M65" s="132">
        <v>3399.8401999999996</v>
      </c>
      <c r="N65" s="132">
        <v>935.80490000000032</v>
      </c>
      <c r="O65" s="132">
        <v>755.62360000000035</v>
      </c>
      <c r="P65" s="132">
        <v>17593.127400000012</v>
      </c>
      <c r="Q65" s="84">
        <f t="shared" si="5"/>
        <v>755.62360000000035</v>
      </c>
      <c r="R65" s="84">
        <f t="shared" si="6"/>
        <v>5580.4218999999994</v>
      </c>
      <c r="S65" s="84">
        <f t="shared" si="4"/>
        <v>11257.081900000016</v>
      </c>
      <c r="T65" s="64">
        <f t="shared" si="0"/>
        <v>35554.583600000013</v>
      </c>
    </row>
    <row r="66" spans="2:20" hidden="1">
      <c r="B66" s="79"/>
      <c r="C66" s="124"/>
      <c r="D66" s="81" t="s">
        <v>180</v>
      </c>
      <c r="E66" s="87">
        <v>2011</v>
      </c>
      <c r="F66" s="132">
        <v>0</v>
      </c>
      <c r="G66" s="132">
        <v>0</v>
      </c>
      <c r="H66" s="132">
        <v>0</v>
      </c>
      <c r="I66" s="132">
        <v>52.736900000000013</v>
      </c>
      <c r="J66" s="132">
        <v>616.14110000000005</v>
      </c>
      <c r="K66" s="132">
        <v>10167.918299999978</v>
      </c>
      <c r="L66" s="132">
        <v>1010.0594000000001</v>
      </c>
      <c r="M66" s="132">
        <v>3141.6590000000001</v>
      </c>
      <c r="N66" s="132">
        <v>903.18160000000023</v>
      </c>
      <c r="O66" s="132">
        <v>795.9754999999999</v>
      </c>
      <c r="P66" s="132">
        <v>16687.671799999967</v>
      </c>
      <c r="Q66" s="84">
        <f t="shared" si="5"/>
        <v>795.9754999999999</v>
      </c>
      <c r="R66" s="84">
        <f t="shared" si="6"/>
        <v>5054.8999999999996</v>
      </c>
      <c r="S66" s="84">
        <f t="shared" si="4"/>
        <v>10836.796299999978</v>
      </c>
      <c r="T66" s="64">
        <f t="shared" si="0"/>
        <v>33961.251299999974</v>
      </c>
    </row>
    <row r="67" spans="2:20" hidden="1">
      <c r="B67" s="79"/>
      <c r="C67" s="124"/>
      <c r="D67" s="81" t="s">
        <v>180</v>
      </c>
      <c r="E67" s="82">
        <v>2012</v>
      </c>
      <c r="F67" s="133">
        <v>0</v>
      </c>
      <c r="G67" s="133">
        <v>0</v>
      </c>
      <c r="H67" s="133">
        <v>0</v>
      </c>
      <c r="I67" s="133">
        <v>16.428799999999999</v>
      </c>
      <c r="J67" s="133">
        <v>636.15880000000004</v>
      </c>
      <c r="K67" s="133">
        <v>10453.114199999987</v>
      </c>
      <c r="L67" s="133">
        <v>927.41049999999984</v>
      </c>
      <c r="M67" s="133">
        <v>3053.4507999999987</v>
      </c>
      <c r="N67" s="133">
        <v>1103.9727000000003</v>
      </c>
      <c r="O67" s="133">
        <v>735.40870000000018</v>
      </c>
      <c r="P67" s="133">
        <v>16925.944499999987</v>
      </c>
      <c r="Q67" s="84">
        <f t="shared" si="5"/>
        <v>735.40870000000018</v>
      </c>
      <c r="R67" s="84">
        <f t="shared" si="6"/>
        <v>5084.8339999999989</v>
      </c>
      <c r="S67" s="84">
        <f t="shared" si="4"/>
        <v>11105.701799999988</v>
      </c>
      <c r="T67" s="64">
        <f t="shared" si="0"/>
        <v>33714.290799999988</v>
      </c>
    </row>
    <row r="68" spans="2:20" hidden="1">
      <c r="B68" s="79"/>
      <c r="C68" s="124"/>
      <c r="D68" s="77" t="s">
        <v>180</v>
      </c>
      <c r="E68" s="87">
        <v>2005</v>
      </c>
      <c r="F68" s="132">
        <v>0</v>
      </c>
      <c r="G68" s="132">
        <v>0</v>
      </c>
      <c r="H68" s="132">
        <v>0</v>
      </c>
      <c r="I68" s="132">
        <v>71.099999999999994</v>
      </c>
      <c r="J68" s="132">
        <v>384.68280000000016</v>
      </c>
      <c r="K68" s="132">
        <v>3174.7787999999937</v>
      </c>
      <c r="L68" s="132">
        <v>96.868600000000015</v>
      </c>
      <c r="M68" s="132">
        <v>282.47449999999998</v>
      </c>
      <c r="N68" s="132">
        <v>173.96469999999999</v>
      </c>
      <c r="O68" s="132">
        <v>111.71950000000001</v>
      </c>
      <c r="P68" s="132">
        <v>4295.588899999987</v>
      </c>
      <c r="Q68" s="84">
        <f t="shared" si="5"/>
        <v>111.71950000000001</v>
      </c>
      <c r="R68" s="84">
        <f t="shared" si="6"/>
        <v>553.30780000000004</v>
      </c>
      <c r="S68" s="84">
        <f t="shared" si="4"/>
        <v>3630.5615999999936</v>
      </c>
      <c r="T68" s="64">
        <f t="shared" si="0"/>
        <v>6407.6799999999939</v>
      </c>
    </row>
    <row r="69" spans="2:20" hidden="1">
      <c r="B69" s="79"/>
      <c r="C69" s="124"/>
      <c r="D69" s="81" t="s">
        <v>179</v>
      </c>
      <c r="E69" s="87">
        <v>2006</v>
      </c>
      <c r="F69" s="132">
        <v>0</v>
      </c>
      <c r="G69" s="132">
        <v>0</v>
      </c>
      <c r="H69" s="132">
        <v>0</v>
      </c>
      <c r="I69" s="132">
        <v>47.099999999999994</v>
      </c>
      <c r="J69" s="132">
        <v>118.37590000000004</v>
      </c>
      <c r="K69" s="132">
        <v>2805.0528999999974</v>
      </c>
      <c r="L69" s="132">
        <v>65.201599999999999</v>
      </c>
      <c r="M69" s="132">
        <v>296.20929999999998</v>
      </c>
      <c r="N69" s="132">
        <v>156.62729999999993</v>
      </c>
      <c r="O69" s="132">
        <v>149.1961</v>
      </c>
      <c r="P69" s="132">
        <v>3637.7630999999988</v>
      </c>
      <c r="Q69" s="84">
        <f t="shared" si="5"/>
        <v>149.1961</v>
      </c>
      <c r="R69" s="84">
        <f t="shared" si="6"/>
        <v>518.03819999999996</v>
      </c>
      <c r="S69" s="84">
        <f t="shared" si="4"/>
        <v>2970.5287999999973</v>
      </c>
      <c r="T69" s="64">
        <f t="shared" si="0"/>
        <v>6016.6043999999974</v>
      </c>
    </row>
    <row r="70" spans="2:20" hidden="1">
      <c r="B70" s="79"/>
      <c r="C70" s="124"/>
      <c r="D70" s="81" t="s">
        <v>179</v>
      </c>
      <c r="E70" s="87">
        <v>2007</v>
      </c>
      <c r="F70" s="132">
        <v>0</v>
      </c>
      <c r="G70" s="132">
        <v>0</v>
      </c>
      <c r="H70" s="132">
        <v>0</v>
      </c>
      <c r="I70" s="132">
        <v>45</v>
      </c>
      <c r="J70" s="132">
        <v>21.397300000000005</v>
      </c>
      <c r="K70" s="132">
        <v>2206.9706999999971</v>
      </c>
      <c r="L70" s="132">
        <v>39.436800000000005</v>
      </c>
      <c r="M70" s="132">
        <v>312.83570000000003</v>
      </c>
      <c r="N70" s="132">
        <v>119.44589999999999</v>
      </c>
      <c r="O70" s="132">
        <v>207.93049999999999</v>
      </c>
      <c r="P70" s="132">
        <v>2953.016899999996</v>
      </c>
      <c r="Q70" s="84">
        <f t="shared" si="5"/>
        <v>207.93049999999999</v>
      </c>
      <c r="R70" s="84">
        <f t="shared" si="6"/>
        <v>471.71840000000003</v>
      </c>
      <c r="S70" s="84">
        <f t="shared" si="4"/>
        <v>2273.3679999999972</v>
      </c>
      <c r="T70" s="64">
        <f t="shared" si="0"/>
        <v>5767.8281999999972</v>
      </c>
    </row>
    <row r="71" spans="2:20" hidden="1">
      <c r="B71" s="79"/>
      <c r="C71" s="124"/>
      <c r="D71" s="81" t="s">
        <v>179</v>
      </c>
      <c r="E71" s="87">
        <v>2008</v>
      </c>
      <c r="F71" s="132">
        <v>0</v>
      </c>
      <c r="G71" s="132">
        <v>0</v>
      </c>
      <c r="H71" s="132">
        <v>0</v>
      </c>
      <c r="I71" s="132">
        <v>37.900000000000006</v>
      </c>
      <c r="J71" s="132">
        <v>9.770500000000002</v>
      </c>
      <c r="K71" s="132">
        <v>1630.0945999999997</v>
      </c>
      <c r="L71" s="132">
        <v>34.423100000000005</v>
      </c>
      <c r="M71" s="132">
        <v>335.9905</v>
      </c>
      <c r="N71" s="132">
        <v>153.47500000000002</v>
      </c>
      <c r="O71" s="132">
        <v>252.47189999999995</v>
      </c>
      <c r="P71" s="132">
        <v>2454.1255999999994</v>
      </c>
      <c r="Q71" s="84">
        <f t="shared" si="5"/>
        <v>252.47189999999995</v>
      </c>
      <c r="R71" s="84">
        <f t="shared" si="6"/>
        <v>523.8886</v>
      </c>
      <c r="S71" s="84">
        <f t="shared" si="4"/>
        <v>1677.7650999999996</v>
      </c>
      <c r="T71" s="64">
        <f t="shared" si="0"/>
        <v>5774.1498999999994</v>
      </c>
    </row>
    <row r="72" spans="2:20" hidden="1">
      <c r="B72" s="79"/>
      <c r="C72" s="124"/>
      <c r="D72" s="81" t="s">
        <v>179</v>
      </c>
      <c r="E72" s="87">
        <v>2009</v>
      </c>
      <c r="F72" s="132">
        <v>0</v>
      </c>
      <c r="G72" s="132">
        <v>0</v>
      </c>
      <c r="H72" s="132">
        <v>0</v>
      </c>
      <c r="I72" s="132">
        <v>228.15160000000009</v>
      </c>
      <c r="J72" s="132">
        <v>9.1879999999999988</v>
      </c>
      <c r="K72" s="132">
        <v>1297.0813000000001</v>
      </c>
      <c r="L72" s="132">
        <v>48.514799999999994</v>
      </c>
      <c r="M72" s="132">
        <v>401.74730000000005</v>
      </c>
      <c r="N72" s="132">
        <v>143.84010000000001</v>
      </c>
      <c r="O72" s="132">
        <v>324.07960000000003</v>
      </c>
      <c r="P72" s="132">
        <v>2452.6026999999976</v>
      </c>
      <c r="Q72" s="84">
        <f t="shared" si="5"/>
        <v>324.07960000000003</v>
      </c>
      <c r="R72" s="84">
        <f t="shared" si="6"/>
        <v>594.10220000000004</v>
      </c>
      <c r="S72" s="84">
        <f t="shared" si="4"/>
        <v>1534.4209000000001</v>
      </c>
      <c r="T72" s="64">
        <f t="shared" si="0"/>
        <v>6557.5235000000002</v>
      </c>
    </row>
    <row r="73" spans="2:20" hidden="1">
      <c r="B73" s="79"/>
      <c r="C73" s="124"/>
      <c r="D73" s="81" t="s">
        <v>179</v>
      </c>
      <c r="E73" s="87">
        <v>2010</v>
      </c>
      <c r="F73" s="132">
        <v>0</v>
      </c>
      <c r="G73" s="132">
        <v>0</v>
      </c>
      <c r="H73" s="132">
        <v>0</v>
      </c>
      <c r="I73" s="132">
        <v>217.1810000000001</v>
      </c>
      <c r="J73" s="132">
        <v>11.1248</v>
      </c>
      <c r="K73" s="132">
        <v>1073.7587999999998</v>
      </c>
      <c r="L73" s="132">
        <v>51.250399999999992</v>
      </c>
      <c r="M73" s="132">
        <v>433.51980000000003</v>
      </c>
      <c r="N73" s="132">
        <v>179.94640000000007</v>
      </c>
      <c r="O73" s="132">
        <v>372.87560000000025</v>
      </c>
      <c r="P73" s="132">
        <v>2339.6568000000002</v>
      </c>
      <c r="Q73" s="84">
        <f t="shared" si="5"/>
        <v>372.87560000000025</v>
      </c>
      <c r="R73" s="84">
        <f t="shared" si="6"/>
        <v>664.71660000000008</v>
      </c>
      <c r="S73" s="84">
        <f t="shared" si="4"/>
        <v>1302.0645999999999</v>
      </c>
      <c r="T73" s="64">
        <f t="shared" si="0"/>
        <v>7024.970400000002</v>
      </c>
    </row>
    <row r="74" spans="2:20" hidden="1">
      <c r="B74" s="79"/>
      <c r="C74" s="124"/>
      <c r="D74" s="81" t="s">
        <v>179</v>
      </c>
      <c r="E74" s="87">
        <v>2011</v>
      </c>
      <c r="F74" s="132">
        <v>0</v>
      </c>
      <c r="G74" s="132">
        <v>0</v>
      </c>
      <c r="H74" s="132">
        <v>0</v>
      </c>
      <c r="I74" s="132">
        <v>295.1690000000001</v>
      </c>
      <c r="J74" s="132">
        <v>11.4374</v>
      </c>
      <c r="K74" s="132">
        <v>1120.6245000000004</v>
      </c>
      <c r="L74" s="132">
        <v>54.249200000000002</v>
      </c>
      <c r="M74" s="132">
        <v>474.36660000000001</v>
      </c>
      <c r="N74" s="132">
        <v>167.9546</v>
      </c>
      <c r="O74" s="132">
        <v>426.15589999999997</v>
      </c>
      <c r="P74" s="132">
        <v>2549.9571999999994</v>
      </c>
      <c r="Q74" s="84">
        <f t="shared" si="5"/>
        <v>426.15589999999997</v>
      </c>
      <c r="R74" s="84">
        <f t="shared" si="6"/>
        <v>696.57040000000006</v>
      </c>
      <c r="S74" s="84">
        <f t="shared" si="4"/>
        <v>1427.2309000000005</v>
      </c>
      <c r="T74" s="64">
        <f t="shared" si="0"/>
        <v>7778.5010999999995</v>
      </c>
    </row>
    <row r="75" spans="2:20" hidden="1">
      <c r="B75" s="79"/>
      <c r="C75" s="124"/>
      <c r="D75" s="81" t="s">
        <v>179</v>
      </c>
      <c r="E75" s="82">
        <v>2012</v>
      </c>
      <c r="F75" s="133">
        <v>0</v>
      </c>
      <c r="G75" s="133">
        <v>0</v>
      </c>
      <c r="H75" s="133">
        <v>0</v>
      </c>
      <c r="I75" s="133">
        <v>364.25000000000006</v>
      </c>
      <c r="J75" s="133">
        <v>11.937799999999999</v>
      </c>
      <c r="K75" s="133">
        <v>1200.0492000000002</v>
      </c>
      <c r="L75" s="133">
        <v>65.75139999999999</v>
      </c>
      <c r="M75" s="133">
        <v>437.38440000000008</v>
      </c>
      <c r="N75" s="133">
        <v>251.53330000000003</v>
      </c>
      <c r="O75" s="133">
        <v>421.34820000000008</v>
      </c>
      <c r="P75" s="133">
        <v>2752.2542999999973</v>
      </c>
      <c r="Q75" s="84">
        <f t="shared" si="5"/>
        <v>421.34820000000008</v>
      </c>
      <c r="R75" s="84">
        <f t="shared" si="6"/>
        <v>754.66910000000007</v>
      </c>
      <c r="S75" s="84">
        <f t="shared" si="4"/>
        <v>1576.2370000000001</v>
      </c>
      <c r="T75" s="64">
        <f t="shared" si="0"/>
        <v>8053.7263000000012</v>
      </c>
    </row>
    <row r="76" spans="2:20" hidden="1">
      <c r="B76" s="79"/>
      <c r="C76" s="124"/>
      <c r="D76" s="77" t="s">
        <v>119</v>
      </c>
      <c r="E76" s="87">
        <v>2005</v>
      </c>
      <c r="F76" s="132">
        <v>0</v>
      </c>
      <c r="G76" s="132">
        <v>0</v>
      </c>
      <c r="H76" s="132">
        <v>5.9999999999999991</v>
      </c>
      <c r="I76" s="132">
        <v>433.6354</v>
      </c>
      <c r="J76" s="132">
        <v>1145.7147</v>
      </c>
      <c r="K76" s="132">
        <v>14427.861799999991</v>
      </c>
      <c r="L76" s="132">
        <v>1281.6160999999997</v>
      </c>
      <c r="M76" s="132">
        <v>1886.1127000000004</v>
      </c>
      <c r="N76" s="132">
        <v>1325.0338000000004</v>
      </c>
      <c r="O76" s="132">
        <v>634.31790000000001</v>
      </c>
      <c r="P76" s="132">
        <v>21140.292399999977</v>
      </c>
      <c r="Q76" s="84">
        <f t="shared" si="5"/>
        <v>634.31790000000001</v>
      </c>
      <c r="R76" s="84">
        <f t="shared" si="6"/>
        <v>4492.7626</v>
      </c>
      <c r="S76" s="84">
        <f t="shared" si="4"/>
        <v>16013.211899999991</v>
      </c>
      <c r="T76" s="64">
        <f t="shared" si="0"/>
        <v>35834.678699999989</v>
      </c>
    </row>
    <row r="77" spans="2:20" hidden="1">
      <c r="B77" s="79"/>
      <c r="C77" s="124"/>
      <c r="D77" s="81" t="s">
        <v>119</v>
      </c>
      <c r="E77" s="87">
        <v>2006</v>
      </c>
      <c r="F77" s="132">
        <v>0</v>
      </c>
      <c r="G77" s="132">
        <v>0</v>
      </c>
      <c r="H77" s="132">
        <v>8.9999999999999982</v>
      </c>
      <c r="I77" s="132">
        <v>379.36180000000013</v>
      </c>
      <c r="J77" s="132">
        <v>739.19979999999987</v>
      </c>
      <c r="K77" s="132">
        <v>13432.510399999988</v>
      </c>
      <c r="L77" s="132">
        <v>1201.4020999999998</v>
      </c>
      <c r="M77" s="132">
        <v>2201.5185000000001</v>
      </c>
      <c r="N77" s="132">
        <v>1138.6373999999998</v>
      </c>
      <c r="O77" s="132">
        <v>785.53160000000003</v>
      </c>
      <c r="P77" s="132">
        <v>19887.161599999989</v>
      </c>
      <c r="Q77" s="84">
        <f t="shared" si="5"/>
        <v>785.53160000000003</v>
      </c>
      <c r="R77" s="84">
        <f t="shared" si="6"/>
        <v>4541.558</v>
      </c>
      <c r="S77" s="84">
        <f t="shared" si="4"/>
        <v>14560.071999999989</v>
      </c>
      <c r="T77" s="64">
        <f t="shared" si="0"/>
        <v>36040.061999999991</v>
      </c>
    </row>
    <row r="78" spans="2:20" hidden="1">
      <c r="B78" s="79"/>
      <c r="C78" s="124"/>
      <c r="D78" s="81" t="s">
        <v>119</v>
      </c>
      <c r="E78" s="87">
        <v>2007</v>
      </c>
      <c r="F78" s="132">
        <v>0</v>
      </c>
      <c r="G78" s="132">
        <v>0</v>
      </c>
      <c r="H78" s="132">
        <v>7.9999999999999991</v>
      </c>
      <c r="I78" s="132">
        <v>315.03410000000002</v>
      </c>
      <c r="J78" s="132">
        <v>623.95409999999993</v>
      </c>
      <c r="K78" s="132">
        <v>12888.161599999989</v>
      </c>
      <c r="L78" s="132">
        <v>1141.2176999999997</v>
      </c>
      <c r="M78" s="132">
        <v>2094.6985999999997</v>
      </c>
      <c r="N78" s="132">
        <v>1077.3081000000004</v>
      </c>
      <c r="O78" s="132">
        <v>948.22589999999968</v>
      </c>
      <c r="P78" s="132">
        <v>19096.600099999978</v>
      </c>
      <c r="Q78" s="84">
        <f t="shared" si="5"/>
        <v>948.22589999999968</v>
      </c>
      <c r="R78" s="84">
        <f t="shared" si="6"/>
        <v>4313.2244000000001</v>
      </c>
      <c r="S78" s="84">
        <f t="shared" si="4"/>
        <v>13835.149799999988</v>
      </c>
      <c r="T78" s="64">
        <f t="shared" si="0"/>
        <v>36257.08199999998</v>
      </c>
    </row>
    <row r="79" spans="2:20">
      <c r="B79" s="79"/>
      <c r="C79" s="123" t="s">
        <v>121</v>
      </c>
      <c r="D79" s="94" t="s">
        <v>119</v>
      </c>
      <c r="E79" s="100">
        <v>2006</v>
      </c>
      <c r="F79" s="135">
        <v>0</v>
      </c>
      <c r="G79" s="135">
        <v>0</v>
      </c>
      <c r="H79" s="135">
        <v>8.9999999999999982</v>
      </c>
      <c r="I79" s="135">
        <v>379.36180000000007</v>
      </c>
      <c r="J79" s="135">
        <v>739.19979999999998</v>
      </c>
      <c r="K79" s="135">
        <v>13432.510399999986</v>
      </c>
      <c r="L79" s="135">
        <v>1201.4020999999998</v>
      </c>
      <c r="M79" s="135">
        <v>2201.5185000000001</v>
      </c>
      <c r="N79" s="135">
        <v>1138.6374000000001</v>
      </c>
      <c r="O79" s="135">
        <v>785.53160000000014</v>
      </c>
      <c r="P79" s="135">
        <v>19887.161599999996</v>
      </c>
      <c r="Q79" s="97">
        <f t="shared" si="5"/>
        <v>785.53160000000014</v>
      </c>
      <c r="R79" s="97">
        <f t="shared" si="6"/>
        <v>4541.558</v>
      </c>
      <c r="S79" s="97">
        <f t="shared" si="4"/>
        <v>14560.071999999986</v>
      </c>
      <c r="T79" s="98">
        <f t="shared" si="0"/>
        <v>36040.061999999991</v>
      </c>
    </row>
    <row r="80" spans="2:20">
      <c r="B80" s="79"/>
      <c r="C80" s="123" t="s">
        <v>121</v>
      </c>
      <c r="D80" s="94" t="s">
        <v>119</v>
      </c>
      <c r="E80" s="100">
        <v>2007</v>
      </c>
      <c r="F80" s="135">
        <v>0</v>
      </c>
      <c r="G80" s="135">
        <v>0</v>
      </c>
      <c r="H80" s="135">
        <v>7.9999999999999991</v>
      </c>
      <c r="I80" s="135">
        <v>315.03410000000008</v>
      </c>
      <c r="J80" s="135">
        <v>623.95409999999993</v>
      </c>
      <c r="K80" s="135">
        <v>12888.16159999999</v>
      </c>
      <c r="L80" s="135">
        <v>1141.2176999999999</v>
      </c>
      <c r="M80" s="135">
        <v>2094.6986000000002</v>
      </c>
      <c r="N80" s="135">
        <v>1077.3081000000002</v>
      </c>
      <c r="O80" s="135">
        <v>948.2258999999998</v>
      </c>
      <c r="P80" s="135">
        <v>19096.600099999996</v>
      </c>
      <c r="Q80" s="97">
        <f t="shared" si="5"/>
        <v>948.2258999999998</v>
      </c>
      <c r="R80" s="97">
        <f t="shared" si="6"/>
        <v>4313.2244000000001</v>
      </c>
      <c r="S80" s="97">
        <f t="shared" si="4"/>
        <v>13835.14979999999</v>
      </c>
      <c r="T80" s="98">
        <f t="shared" si="0"/>
        <v>36257.081999999988</v>
      </c>
    </row>
    <row r="81" spans="2:20" s="99" customFormat="1">
      <c r="B81" s="90"/>
      <c r="C81" s="123" t="s">
        <v>121</v>
      </c>
      <c r="D81" s="94" t="s">
        <v>119</v>
      </c>
      <c r="E81" s="100">
        <v>2008</v>
      </c>
      <c r="F81" s="135">
        <v>0</v>
      </c>
      <c r="G81" s="135">
        <v>0</v>
      </c>
      <c r="H81" s="135">
        <v>0</v>
      </c>
      <c r="I81" s="135">
        <v>292.89410000000004</v>
      </c>
      <c r="J81" s="135">
        <v>597.67380000000026</v>
      </c>
      <c r="K81" s="135">
        <v>12285.033199999989</v>
      </c>
      <c r="L81" s="135">
        <v>1092.165</v>
      </c>
      <c r="M81" s="135">
        <v>2074.2592</v>
      </c>
      <c r="N81" s="135">
        <v>1075.1821</v>
      </c>
      <c r="O81" s="135">
        <v>1034.0991000000001</v>
      </c>
      <c r="P81" s="135">
        <v>18451.306499999988</v>
      </c>
      <c r="Q81" s="97">
        <f t="shared" si="5"/>
        <v>1034.0991000000001</v>
      </c>
      <c r="R81" s="97">
        <f t="shared" si="6"/>
        <v>4241.6062999999995</v>
      </c>
      <c r="S81" s="97">
        <f t="shared" si="4"/>
        <v>13175.601099999989</v>
      </c>
      <c r="T81" s="98">
        <f t="shared" si="0"/>
        <v>36241.410999999993</v>
      </c>
    </row>
    <row r="82" spans="2:20" s="99" customFormat="1">
      <c r="B82" s="90"/>
      <c r="C82" s="123" t="s">
        <v>121</v>
      </c>
      <c r="D82" s="94" t="s">
        <v>119</v>
      </c>
      <c r="E82" s="100">
        <v>2009</v>
      </c>
      <c r="F82" s="135">
        <v>0</v>
      </c>
      <c r="G82" s="135">
        <v>0</v>
      </c>
      <c r="H82" s="135">
        <v>0</v>
      </c>
      <c r="I82" s="135">
        <v>580.93650000000014</v>
      </c>
      <c r="J82" s="135">
        <v>688.65430000000003</v>
      </c>
      <c r="K82" s="135">
        <v>11565.15829999999</v>
      </c>
      <c r="L82" s="135">
        <v>1249.4037999999998</v>
      </c>
      <c r="M82" s="135">
        <v>3513.9032999999995</v>
      </c>
      <c r="N82" s="135">
        <v>1026.2519000000002</v>
      </c>
      <c r="O82" s="135">
        <v>1171.3730999999993</v>
      </c>
      <c r="P82" s="135">
        <v>19795.681199999985</v>
      </c>
      <c r="Q82" s="97">
        <f t="shared" ref="Q82:Q149" si="7">O82</f>
        <v>1171.3730999999993</v>
      </c>
      <c r="R82" s="97">
        <f t="shared" ref="R82:R149" si="8">SUM(L82:N82)</f>
        <v>5789.5589999999993</v>
      </c>
      <c r="S82" s="97">
        <f t="shared" si="4"/>
        <v>12834.74909999999</v>
      </c>
      <c r="T82" s="98">
        <f t="shared" si="0"/>
        <v>41917.157099999982</v>
      </c>
    </row>
    <row r="83" spans="2:20" s="99" customFormat="1">
      <c r="B83" s="90"/>
      <c r="C83" s="123" t="s">
        <v>121</v>
      </c>
      <c r="D83" s="94" t="s">
        <v>119</v>
      </c>
      <c r="E83" s="100">
        <v>2010</v>
      </c>
      <c r="F83" s="135">
        <v>0</v>
      </c>
      <c r="G83" s="135">
        <v>0</v>
      </c>
      <c r="H83" s="135">
        <v>0</v>
      </c>
      <c r="I83" s="135">
        <v>597.03520000000003</v>
      </c>
      <c r="J83" s="135">
        <v>645.6733999999999</v>
      </c>
      <c r="K83" s="135">
        <v>11316.437900000015</v>
      </c>
      <c r="L83" s="135">
        <v>1296.0271999999993</v>
      </c>
      <c r="M83" s="135">
        <v>3833.3599999999997</v>
      </c>
      <c r="N83" s="135">
        <v>1115.7513000000004</v>
      </c>
      <c r="O83" s="135">
        <v>1128.4992000000007</v>
      </c>
      <c r="P83" s="135">
        <v>19932.784200000013</v>
      </c>
      <c r="Q83" s="97">
        <f t="shared" si="7"/>
        <v>1128.4992000000007</v>
      </c>
      <c r="R83" s="97">
        <f t="shared" si="8"/>
        <v>6245.1384999999991</v>
      </c>
      <c r="S83" s="97">
        <f t="shared" si="4"/>
        <v>12559.146500000015</v>
      </c>
      <c r="T83" s="98">
        <f t="shared" si="0"/>
        <v>42579.554000000018</v>
      </c>
    </row>
    <row r="84" spans="2:20" s="99" customFormat="1">
      <c r="B84" s="90"/>
      <c r="C84" s="123" t="s">
        <v>121</v>
      </c>
      <c r="D84" s="94" t="s">
        <v>119</v>
      </c>
      <c r="E84" s="100">
        <v>2011</v>
      </c>
      <c r="F84" s="135">
        <v>0</v>
      </c>
      <c r="G84" s="135">
        <v>0</v>
      </c>
      <c r="H84" s="135">
        <v>0</v>
      </c>
      <c r="I84" s="135">
        <v>347.90590000000009</v>
      </c>
      <c r="J84" s="135">
        <v>627.57850000000008</v>
      </c>
      <c r="K84" s="135">
        <v>11288.542799999977</v>
      </c>
      <c r="L84" s="135">
        <v>1064.3086000000001</v>
      </c>
      <c r="M84" s="135">
        <v>3616.0255999999999</v>
      </c>
      <c r="N84" s="135">
        <v>1071.1362000000001</v>
      </c>
      <c r="O84" s="135">
        <v>1222.1313999999998</v>
      </c>
      <c r="P84" s="135">
        <v>19237.628999999968</v>
      </c>
      <c r="Q84" s="97">
        <f t="shared" si="7"/>
        <v>1222.1313999999998</v>
      </c>
      <c r="R84" s="97">
        <f t="shared" si="8"/>
        <v>5751.4704000000002</v>
      </c>
      <c r="S84" s="97">
        <f t="shared" si="4"/>
        <v>12264.027199999977</v>
      </c>
      <c r="T84" s="98">
        <f t="shared" si="0"/>
        <v>41739.752399999976</v>
      </c>
    </row>
    <row r="85" spans="2:20" s="99" customFormat="1">
      <c r="B85" s="90"/>
      <c r="C85" s="533" t="s">
        <v>121</v>
      </c>
      <c r="D85" s="94" t="s">
        <v>119</v>
      </c>
      <c r="E85" s="100">
        <v>2012</v>
      </c>
      <c r="F85" s="135">
        <v>0</v>
      </c>
      <c r="G85" s="135">
        <v>0</v>
      </c>
      <c r="H85" s="135">
        <v>0</v>
      </c>
      <c r="I85" s="135">
        <v>380.67880000000008</v>
      </c>
      <c r="J85" s="135">
        <v>648.09660000000008</v>
      </c>
      <c r="K85" s="135">
        <v>11653.163399999987</v>
      </c>
      <c r="L85" s="135">
        <v>993.16189999999983</v>
      </c>
      <c r="M85" s="135">
        <v>3490.8351999999986</v>
      </c>
      <c r="N85" s="135">
        <v>1355.5060000000003</v>
      </c>
      <c r="O85" s="135">
        <v>1156.7569000000003</v>
      </c>
      <c r="P85" s="135">
        <v>19678.198799999984</v>
      </c>
      <c r="Q85" s="135">
        <f t="shared" si="7"/>
        <v>1156.7569000000003</v>
      </c>
      <c r="R85" s="135">
        <f t="shared" si="8"/>
        <v>5839.503099999999</v>
      </c>
      <c r="S85" s="135">
        <f t="shared" si="4"/>
        <v>12681.938799999987</v>
      </c>
      <c r="T85" s="98">
        <f t="shared" si="0"/>
        <v>41768.01709999999</v>
      </c>
    </row>
    <row r="86" spans="2:20" s="99" customFormat="1">
      <c r="C86" s="123" t="s">
        <v>121</v>
      </c>
      <c r="D86" s="534" t="s">
        <v>119</v>
      </c>
      <c r="E86" s="532">
        <v>2013</v>
      </c>
      <c r="F86" s="525">
        <v>0</v>
      </c>
      <c r="G86" s="525">
        <v>0</v>
      </c>
      <c r="H86" s="525">
        <v>0</v>
      </c>
      <c r="I86" s="525">
        <v>321.89720000000005</v>
      </c>
      <c r="J86" s="525">
        <v>645.79460000000017</v>
      </c>
      <c r="K86" s="525">
        <v>11206.386199999999</v>
      </c>
      <c r="L86" s="525">
        <v>893.3017000000001</v>
      </c>
      <c r="M86" s="525">
        <v>3354.0153</v>
      </c>
      <c r="N86" s="525">
        <v>1468.829</v>
      </c>
      <c r="O86" s="525">
        <v>1183.6682000000001</v>
      </c>
      <c r="P86" s="525">
        <v>19073.892199999998</v>
      </c>
      <c r="Q86" s="526">
        <f t="shared" si="7"/>
        <v>1183.6682000000001</v>
      </c>
      <c r="R86" s="526">
        <f t="shared" si="8"/>
        <v>5716.1459999999997</v>
      </c>
      <c r="S86" s="526">
        <f t="shared" si="4"/>
        <v>12174.078</v>
      </c>
      <c r="T86" s="527">
        <f t="shared" si="0"/>
        <v>41159.197999999997</v>
      </c>
    </row>
    <row r="87" spans="2:20" hidden="1">
      <c r="B87" s="79"/>
      <c r="C87" s="124" t="s">
        <v>122</v>
      </c>
      <c r="D87" s="77" t="s">
        <v>179</v>
      </c>
      <c r="E87" s="87">
        <v>2005</v>
      </c>
      <c r="F87" s="132">
        <v>0</v>
      </c>
      <c r="G87" s="132">
        <v>0</v>
      </c>
      <c r="H87" s="132">
        <v>19.849200000000003</v>
      </c>
      <c r="I87" s="132">
        <v>133.42440000000002</v>
      </c>
      <c r="J87" s="132">
        <v>377.57269999999971</v>
      </c>
      <c r="K87" s="132">
        <v>10159.84249999999</v>
      </c>
      <c r="L87" s="132">
        <v>708.83190000000002</v>
      </c>
      <c r="M87" s="132">
        <v>658.8232999999999</v>
      </c>
      <c r="N87" s="132">
        <v>963.83069999999998</v>
      </c>
      <c r="O87" s="132">
        <v>329.86599999999999</v>
      </c>
      <c r="P87" s="132">
        <v>13352.040699999989</v>
      </c>
      <c r="Q87" s="97">
        <f t="shared" si="7"/>
        <v>329.86599999999999</v>
      </c>
      <c r="R87" s="97">
        <f t="shared" si="8"/>
        <v>2331.4858999999997</v>
      </c>
      <c r="S87" s="84">
        <f t="shared" si="4"/>
        <v>10690.688799999989</v>
      </c>
      <c r="T87" s="64">
        <f t="shared" si="0"/>
        <v>20983.806499999988</v>
      </c>
    </row>
    <row r="88" spans="2:20" hidden="1">
      <c r="B88" s="79"/>
      <c r="C88" s="124"/>
      <c r="D88" s="81" t="s">
        <v>180</v>
      </c>
      <c r="E88" s="87">
        <v>2006</v>
      </c>
      <c r="F88" s="132">
        <v>0</v>
      </c>
      <c r="G88" s="132">
        <v>0</v>
      </c>
      <c r="H88" s="132">
        <v>1.002</v>
      </c>
      <c r="I88" s="132">
        <v>233.49059999999997</v>
      </c>
      <c r="J88" s="132">
        <v>326.10880000000003</v>
      </c>
      <c r="K88" s="132">
        <v>10850.749000000007</v>
      </c>
      <c r="L88" s="132">
        <v>699.61040000000014</v>
      </c>
      <c r="M88" s="132">
        <v>667.62419999999986</v>
      </c>
      <c r="N88" s="132">
        <v>1010.7948</v>
      </c>
      <c r="O88" s="132">
        <v>364.625</v>
      </c>
      <c r="P88" s="132">
        <v>14154.00480000001</v>
      </c>
      <c r="Q88" s="97">
        <f t="shared" si="7"/>
        <v>364.625</v>
      </c>
      <c r="R88" s="97">
        <f t="shared" si="8"/>
        <v>2378.0293999999999</v>
      </c>
      <c r="S88" s="84">
        <f t="shared" si="4"/>
        <v>11411.350400000007</v>
      </c>
      <c r="T88" s="64">
        <f t="shared" si="0"/>
        <v>22191.688600000009</v>
      </c>
    </row>
    <row r="89" spans="2:20" hidden="1">
      <c r="B89" s="79"/>
      <c r="C89" s="124"/>
      <c r="D89" s="81" t="s">
        <v>180</v>
      </c>
      <c r="E89" s="87">
        <v>2007</v>
      </c>
      <c r="F89" s="132">
        <v>0</v>
      </c>
      <c r="G89" s="132">
        <v>0</v>
      </c>
      <c r="H89" s="132">
        <v>0</v>
      </c>
      <c r="I89" s="132">
        <v>250.62519999999998</v>
      </c>
      <c r="J89" s="132">
        <v>282.19379999999944</v>
      </c>
      <c r="K89" s="132">
        <v>11618.568100000039</v>
      </c>
      <c r="L89" s="132">
        <v>788.0548</v>
      </c>
      <c r="M89" s="132">
        <v>685.38970000000006</v>
      </c>
      <c r="N89" s="132">
        <v>1077.8226999999999</v>
      </c>
      <c r="O89" s="132">
        <v>449.03829999999999</v>
      </c>
      <c r="P89" s="132">
        <v>15151.692600000015</v>
      </c>
      <c r="Q89" s="97">
        <f t="shared" si="7"/>
        <v>449.03829999999999</v>
      </c>
      <c r="R89" s="97">
        <f t="shared" si="8"/>
        <v>2551.2672000000002</v>
      </c>
      <c r="S89" s="84">
        <f t="shared" si="4"/>
        <v>12151.387100000038</v>
      </c>
      <c r="T89" s="64">
        <f t="shared" si="0"/>
        <v>24295.571700000037</v>
      </c>
    </row>
    <row r="90" spans="2:20" hidden="1">
      <c r="B90" s="79"/>
      <c r="C90" s="124"/>
      <c r="D90" s="81" t="s">
        <v>180</v>
      </c>
      <c r="E90" s="87">
        <v>2008</v>
      </c>
      <c r="F90" s="132">
        <v>0</v>
      </c>
      <c r="G90" s="132">
        <v>0</v>
      </c>
      <c r="H90" s="132">
        <v>0</v>
      </c>
      <c r="I90" s="132">
        <v>225.0107000000001</v>
      </c>
      <c r="J90" s="132">
        <v>272.86699999999962</v>
      </c>
      <c r="K90" s="132">
        <v>11667.123300000023</v>
      </c>
      <c r="L90" s="132">
        <v>656.5213</v>
      </c>
      <c r="M90" s="132">
        <v>645.84190000000001</v>
      </c>
      <c r="N90" s="132">
        <v>999.30110000000013</v>
      </c>
      <c r="O90" s="132">
        <v>455.29320000000001</v>
      </c>
      <c r="P90" s="132">
        <v>14921.95850000003</v>
      </c>
      <c r="Q90" s="97">
        <f t="shared" si="7"/>
        <v>455.29320000000001</v>
      </c>
      <c r="R90" s="97">
        <f t="shared" si="8"/>
        <v>2301.6643000000004</v>
      </c>
      <c r="S90" s="84">
        <f t="shared" si="4"/>
        <v>12165.001000000022</v>
      </c>
      <c r="T90" s="64">
        <f t="shared" si="0"/>
        <v>23622.925900000024</v>
      </c>
    </row>
    <row r="91" spans="2:20" hidden="1">
      <c r="B91" s="79"/>
      <c r="C91" s="124"/>
      <c r="D91" s="81" t="s">
        <v>180</v>
      </c>
      <c r="E91" s="87">
        <v>2009</v>
      </c>
      <c r="F91" s="132">
        <v>0</v>
      </c>
      <c r="G91" s="132">
        <v>0</v>
      </c>
      <c r="H91" s="132">
        <v>0</v>
      </c>
      <c r="I91" s="132">
        <v>255.54040000000001</v>
      </c>
      <c r="J91" s="132">
        <v>274.09249999999986</v>
      </c>
      <c r="K91" s="132">
        <v>12257.938900000003</v>
      </c>
      <c r="L91" s="132">
        <v>728.57689999999991</v>
      </c>
      <c r="M91" s="132">
        <v>746.04309999999975</v>
      </c>
      <c r="N91" s="132">
        <v>985.82350000000008</v>
      </c>
      <c r="O91" s="132">
        <v>478.69979999999998</v>
      </c>
      <c r="P91" s="132">
        <v>15726.715100000019</v>
      </c>
      <c r="Q91" s="97">
        <f t="shared" si="7"/>
        <v>478.69979999999998</v>
      </c>
      <c r="R91" s="97">
        <f t="shared" si="8"/>
        <v>2460.4434999999999</v>
      </c>
      <c r="S91" s="84">
        <f t="shared" si="4"/>
        <v>12787.571800000003</v>
      </c>
      <c r="T91" s="64">
        <f t="shared" si="0"/>
        <v>24955.900300000001</v>
      </c>
    </row>
    <row r="92" spans="2:20" hidden="1">
      <c r="B92" s="79"/>
      <c r="C92" s="124"/>
      <c r="D92" s="81" t="s">
        <v>180</v>
      </c>
      <c r="E92" s="87">
        <v>2010</v>
      </c>
      <c r="F92" s="132">
        <v>0</v>
      </c>
      <c r="G92" s="132">
        <v>0</v>
      </c>
      <c r="H92" s="132">
        <v>0</v>
      </c>
      <c r="I92" s="132">
        <v>188.93220000000002</v>
      </c>
      <c r="J92" s="132">
        <v>249.61740000000054</v>
      </c>
      <c r="K92" s="132">
        <v>12367.676499999912</v>
      </c>
      <c r="L92" s="132">
        <v>751.75680000000023</v>
      </c>
      <c r="M92" s="132">
        <v>761.19539999999984</v>
      </c>
      <c r="N92" s="132">
        <v>919.80760000000032</v>
      </c>
      <c r="O92" s="132">
        <v>430.14729999999997</v>
      </c>
      <c r="P92" s="132">
        <v>15669.133199999911</v>
      </c>
      <c r="Q92" s="97">
        <f t="shared" si="7"/>
        <v>430.14729999999997</v>
      </c>
      <c r="R92" s="97">
        <f t="shared" si="8"/>
        <v>2432.7598000000007</v>
      </c>
      <c r="S92" s="84">
        <f t="shared" si="4"/>
        <v>12806.226099999913</v>
      </c>
      <c r="T92" s="64">
        <f t="shared" si="0"/>
        <v>24405.978499999914</v>
      </c>
    </row>
    <row r="93" spans="2:20" hidden="1">
      <c r="B93" s="79"/>
      <c r="C93" s="124"/>
      <c r="D93" s="81" t="s">
        <v>180</v>
      </c>
      <c r="E93" s="87">
        <v>2011</v>
      </c>
      <c r="F93" s="132">
        <v>0</v>
      </c>
      <c r="G93" s="132">
        <v>0</v>
      </c>
      <c r="H93" s="132">
        <v>0</v>
      </c>
      <c r="I93" s="132">
        <v>128.5735</v>
      </c>
      <c r="J93" s="132">
        <v>222.33850000000038</v>
      </c>
      <c r="K93" s="132">
        <v>12013.487299999932</v>
      </c>
      <c r="L93" s="132">
        <v>714.83429999999998</v>
      </c>
      <c r="M93" s="132">
        <v>712.93599999999969</v>
      </c>
      <c r="N93" s="132">
        <v>951.62740000000019</v>
      </c>
      <c r="O93" s="132">
        <v>397.96070000000003</v>
      </c>
      <c r="P93" s="132">
        <v>15141.757699999931</v>
      </c>
      <c r="Q93" s="97">
        <f t="shared" si="7"/>
        <v>397.96070000000003</v>
      </c>
      <c r="R93" s="97">
        <f t="shared" si="8"/>
        <v>2379.3977</v>
      </c>
      <c r="S93" s="84">
        <f t="shared" si="4"/>
        <v>12364.399299999932</v>
      </c>
      <c r="T93" s="64">
        <f t="shared" si="0"/>
        <v>23482.199399999932</v>
      </c>
    </row>
    <row r="94" spans="2:20" hidden="1">
      <c r="B94" s="79"/>
      <c r="C94" s="124"/>
      <c r="D94" s="81" t="s">
        <v>180</v>
      </c>
      <c r="E94" s="82">
        <v>2012</v>
      </c>
      <c r="F94" s="133">
        <v>0</v>
      </c>
      <c r="G94" s="133">
        <v>0</v>
      </c>
      <c r="H94" s="133">
        <v>0</v>
      </c>
      <c r="I94" s="133">
        <v>66.384399999999999</v>
      </c>
      <c r="J94" s="133">
        <v>52.901599999999995</v>
      </c>
      <c r="K94" s="133">
        <v>12106.90719999992</v>
      </c>
      <c r="L94" s="133">
        <v>731.52390000000048</v>
      </c>
      <c r="M94" s="133">
        <v>723.58309999999972</v>
      </c>
      <c r="N94" s="133">
        <v>911.81599999999992</v>
      </c>
      <c r="O94" s="133">
        <v>356.99830000000003</v>
      </c>
      <c r="P94" s="133">
        <v>14950.114499999931</v>
      </c>
      <c r="Q94" s="97">
        <f t="shared" si="7"/>
        <v>356.99830000000003</v>
      </c>
      <c r="R94" s="97">
        <f t="shared" si="8"/>
        <v>2366.9230000000002</v>
      </c>
      <c r="S94" s="84">
        <f t="shared" si="4"/>
        <v>12226.19319999992</v>
      </c>
      <c r="T94" s="64">
        <f t="shared" si="0"/>
        <v>22896.945199999922</v>
      </c>
    </row>
    <row r="95" spans="2:20" hidden="1">
      <c r="B95" s="79"/>
      <c r="C95" s="124"/>
      <c r="D95" s="77" t="s">
        <v>180</v>
      </c>
      <c r="E95" s="87">
        <v>2005</v>
      </c>
      <c r="F95" s="132">
        <v>0</v>
      </c>
      <c r="G95" s="132">
        <v>0</v>
      </c>
      <c r="H95" s="132">
        <v>1.2012</v>
      </c>
      <c r="I95" s="132">
        <v>124.85099999999996</v>
      </c>
      <c r="J95" s="132">
        <v>0</v>
      </c>
      <c r="K95" s="132">
        <v>2343.011</v>
      </c>
      <c r="L95" s="132">
        <v>63.900000000000006</v>
      </c>
      <c r="M95" s="132">
        <v>59.299599999999991</v>
      </c>
      <c r="N95" s="132">
        <v>229.79559999999998</v>
      </c>
      <c r="O95" s="132">
        <v>61.4</v>
      </c>
      <c r="P95" s="132">
        <v>2883.4583999999991</v>
      </c>
      <c r="Q95" s="97">
        <f t="shared" si="7"/>
        <v>61.4</v>
      </c>
      <c r="R95" s="97">
        <f t="shared" si="8"/>
        <v>352.99519999999995</v>
      </c>
      <c r="S95" s="84">
        <f t="shared" si="4"/>
        <v>2469.0632000000001</v>
      </c>
      <c r="T95" s="64">
        <f t="shared" si="0"/>
        <v>4142.0488000000005</v>
      </c>
    </row>
    <row r="96" spans="2:20" hidden="1">
      <c r="B96" s="79"/>
      <c r="C96" s="124"/>
      <c r="D96" s="81" t="s">
        <v>179</v>
      </c>
      <c r="E96" s="87">
        <v>2006</v>
      </c>
      <c r="F96" s="132">
        <v>0</v>
      </c>
      <c r="G96" s="132">
        <v>0</v>
      </c>
      <c r="H96" s="132">
        <v>16</v>
      </c>
      <c r="I96" s="132">
        <v>190.70419999999996</v>
      </c>
      <c r="J96" s="132">
        <v>1.0120000000000002</v>
      </c>
      <c r="K96" s="132">
        <v>2077.8407999999995</v>
      </c>
      <c r="L96" s="132">
        <v>74.889200000000002</v>
      </c>
      <c r="M96" s="132">
        <v>54.182400000000008</v>
      </c>
      <c r="N96" s="132">
        <v>217.5838</v>
      </c>
      <c r="O96" s="132">
        <v>126.4</v>
      </c>
      <c r="P96" s="132">
        <v>2758.6123999999991</v>
      </c>
      <c r="Q96" s="97">
        <f t="shared" si="7"/>
        <v>126.4</v>
      </c>
      <c r="R96" s="97">
        <f t="shared" si="8"/>
        <v>346.65539999999999</v>
      </c>
      <c r="S96" s="84">
        <f t="shared" si="4"/>
        <v>2285.5569999999993</v>
      </c>
      <c r="T96" s="64">
        <f t="shared" si="0"/>
        <v>4589.5231999999996</v>
      </c>
    </row>
    <row r="97" spans="2:20" hidden="1">
      <c r="B97" s="79"/>
      <c r="C97" s="124"/>
      <c r="D97" s="81" t="s">
        <v>179</v>
      </c>
      <c r="E97" s="87">
        <v>2007</v>
      </c>
      <c r="F97" s="132">
        <v>0</v>
      </c>
      <c r="G97" s="132">
        <v>0</v>
      </c>
      <c r="H97" s="132">
        <v>0</v>
      </c>
      <c r="I97" s="132">
        <v>186.70319999999992</v>
      </c>
      <c r="J97" s="132">
        <v>0</v>
      </c>
      <c r="K97" s="132">
        <v>1593.3086999999996</v>
      </c>
      <c r="L97" s="132">
        <v>77.248899999999992</v>
      </c>
      <c r="M97" s="132">
        <v>62.743799999999993</v>
      </c>
      <c r="N97" s="132">
        <v>232.58620000000008</v>
      </c>
      <c r="O97" s="132">
        <v>190.42500000000001</v>
      </c>
      <c r="P97" s="132">
        <v>2343.0157999999988</v>
      </c>
      <c r="Q97" s="97">
        <f t="shared" si="7"/>
        <v>190.42500000000001</v>
      </c>
      <c r="R97" s="97">
        <f t="shared" si="8"/>
        <v>372.57890000000009</v>
      </c>
      <c r="S97" s="84">
        <f t="shared" si="4"/>
        <v>1780.0118999999995</v>
      </c>
      <c r="T97" s="64">
        <f t="shared" si="0"/>
        <v>4801.9985999999999</v>
      </c>
    </row>
    <row r="98" spans="2:20" hidden="1">
      <c r="B98" s="79"/>
      <c r="C98" s="124"/>
      <c r="D98" s="81" t="s">
        <v>179</v>
      </c>
      <c r="E98" s="87">
        <v>2008</v>
      </c>
      <c r="F98" s="132">
        <v>0</v>
      </c>
      <c r="G98" s="132">
        <v>0</v>
      </c>
      <c r="H98" s="132">
        <v>0</v>
      </c>
      <c r="I98" s="132">
        <v>199.86509999999996</v>
      </c>
      <c r="J98" s="132">
        <v>0.875</v>
      </c>
      <c r="K98" s="132">
        <v>1281.5386000000001</v>
      </c>
      <c r="L98" s="132">
        <v>59.534599999999998</v>
      </c>
      <c r="M98" s="132">
        <v>36.161199999999994</v>
      </c>
      <c r="N98" s="132">
        <v>226.61800000000002</v>
      </c>
      <c r="O98" s="132">
        <v>265.26179999999999</v>
      </c>
      <c r="P98" s="132">
        <v>2069.8542999999986</v>
      </c>
      <c r="Q98" s="97">
        <f t="shared" si="7"/>
        <v>265.26179999999999</v>
      </c>
      <c r="R98" s="97">
        <f t="shared" si="8"/>
        <v>322.31380000000001</v>
      </c>
      <c r="S98" s="84">
        <f t="shared" si="4"/>
        <v>1482.2787000000001</v>
      </c>
      <c r="T98" s="64">
        <f t="shared" ref="T98:T167" si="9">(10*Q98)+(3*R98)+S98</f>
        <v>5101.8380999999999</v>
      </c>
    </row>
    <row r="99" spans="2:20" hidden="1">
      <c r="B99" s="79"/>
      <c r="C99" s="124"/>
      <c r="D99" s="81" t="s">
        <v>179</v>
      </c>
      <c r="E99" s="87">
        <v>2009</v>
      </c>
      <c r="F99" s="132">
        <v>0</v>
      </c>
      <c r="G99" s="132">
        <v>0</v>
      </c>
      <c r="H99" s="132">
        <v>0</v>
      </c>
      <c r="I99" s="132">
        <v>238.74289999999996</v>
      </c>
      <c r="J99" s="132">
        <v>0.5</v>
      </c>
      <c r="K99" s="132">
        <v>1157.5804000000007</v>
      </c>
      <c r="L99" s="132">
        <v>47.424000000000007</v>
      </c>
      <c r="M99" s="132">
        <v>40.483399999999996</v>
      </c>
      <c r="N99" s="132">
        <v>212.57970000000003</v>
      </c>
      <c r="O99" s="132">
        <v>332.89620000000002</v>
      </c>
      <c r="P99" s="132">
        <v>2030.2066000000007</v>
      </c>
      <c r="Q99" s="97">
        <f t="shared" si="7"/>
        <v>332.89620000000002</v>
      </c>
      <c r="R99" s="97">
        <f t="shared" si="8"/>
        <v>300.48710000000005</v>
      </c>
      <c r="S99" s="84">
        <f t="shared" si="4"/>
        <v>1396.8233000000007</v>
      </c>
      <c r="T99" s="64">
        <f t="shared" si="9"/>
        <v>5627.2466000000013</v>
      </c>
    </row>
    <row r="100" spans="2:20" hidden="1">
      <c r="B100" s="79"/>
      <c r="C100" s="124"/>
      <c r="D100" s="81" t="s">
        <v>179</v>
      </c>
      <c r="E100" s="87">
        <v>2010</v>
      </c>
      <c r="F100" s="132">
        <v>0</v>
      </c>
      <c r="G100" s="132">
        <v>0</v>
      </c>
      <c r="H100" s="132">
        <v>0</v>
      </c>
      <c r="I100" s="132">
        <v>245.87320000000011</v>
      </c>
      <c r="J100" s="132">
        <v>0</v>
      </c>
      <c r="K100" s="132">
        <v>1180.3561000000004</v>
      </c>
      <c r="L100" s="132">
        <v>61.138600000000011</v>
      </c>
      <c r="M100" s="132">
        <v>44.235700000000008</v>
      </c>
      <c r="N100" s="132">
        <v>198.35039999999998</v>
      </c>
      <c r="O100" s="132">
        <v>337.77879999999993</v>
      </c>
      <c r="P100" s="132">
        <v>2067.7328000000016</v>
      </c>
      <c r="Q100" s="97">
        <f t="shared" si="7"/>
        <v>337.77879999999993</v>
      </c>
      <c r="R100" s="97">
        <f t="shared" si="8"/>
        <v>303.72469999999998</v>
      </c>
      <c r="S100" s="84">
        <f t="shared" si="4"/>
        <v>1426.2293000000004</v>
      </c>
      <c r="T100" s="64">
        <f t="shared" si="9"/>
        <v>5715.1913999999997</v>
      </c>
    </row>
    <row r="101" spans="2:20" hidden="1">
      <c r="B101" s="79"/>
      <c r="C101" s="124"/>
      <c r="D101" s="81" t="s">
        <v>179</v>
      </c>
      <c r="E101" s="87">
        <v>2011</v>
      </c>
      <c r="F101" s="132">
        <v>0</v>
      </c>
      <c r="G101" s="132">
        <v>0</v>
      </c>
      <c r="H101" s="132">
        <v>0</v>
      </c>
      <c r="I101" s="132">
        <v>259.52179999999993</v>
      </c>
      <c r="J101" s="132">
        <v>0</v>
      </c>
      <c r="K101" s="132">
        <v>1262.5467000000001</v>
      </c>
      <c r="L101" s="132">
        <v>48.400000000000006</v>
      </c>
      <c r="M101" s="132">
        <v>66.863799999999998</v>
      </c>
      <c r="N101" s="132">
        <v>224.26479999999995</v>
      </c>
      <c r="O101" s="132">
        <v>370.42520000000013</v>
      </c>
      <c r="P101" s="132">
        <v>2232.022300000001</v>
      </c>
      <c r="Q101" s="97">
        <f t="shared" si="7"/>
        <v>370.42520000000013</v>
      </c>
      <c r="R101" s="97">
        <f t="shared" si="8"/>
        <v>339.52859999999998</v>
      </c>
      <c r="S101" s="84">
        <f t="shared" si="4"/>
        <v>1522.0685000000001</v>
      </c>
      <c r="T101" s="64">
        <f t="shared" si="9"/>
        <v>6244.9063000000015</v>
      </c>
    </row>
    <row r="102" spans="2:20" hidden="1">
      <c r="B102" s="79"/>
      <c r="C102" s="124"/>
      <c r="D102" s="81" t="s">
        <v>179</v>
      </c>
      <c r="E102" s="82">
        <v>2012</v>
      </c>
      <c r="F102" s="133">
        <v>0</v>
      </c>
      <c r="G102" s="133">
        <v>0</v>
      </c>
      <c r="H102" s="133">
        <v>0</v>
      </c>
      <c r="I102" s="133">
        <v>312.25409999999999</v>
      </c>
      <c r="J102" s="133">
        <v>0</v>
      </c>
      <c r="K102" s="133">
        <v>1238.3580000000009</v>
      </c>
      <c r="L102" s="133">
        <v>37.041700000000013</v>
      </c>
      <c r="M102" s="133">
        <v>45.834800000000016</v>
      </c>
      <c r="N102" s="133">
        <v>256.06460000000004</v>
      </c>
      <c r="O102" s="133">
        <v>381.9359</v>
      </c>
      <c r="P102" s="133">
        <v>2271.4891000000002</v>
      </c>
      <c r="Q102" s="97">
        <f t="shared" si="7"/>
        <v>381.9359</v>
      </c>
      <c r="R102" s="97">
        <f t="shared" si="8"/>
        <v>338.94110000000006</v>
      </c>
      <c r="S102" s="84">
        <f t="shared" si="4"/>
        <v>1550.6121000000007</v>
      </c>
      <c r="T102" s="64">
        <f t="shared" si="9"/>
        <v>6386.7944000000007</v>
      </c>
    </row>
    <row r="103" spans="2:20" hidden="1">
      <c r="B103" s="79"/>
      <c r="C103" s="124"/>
      <c r="D103" s="77" t="s">
        <v>119</v>
      </c>
      <c r="E103" s="87">
        <v>2005</v>
      </c>
      <c r="F103" s="132">
        <v>0</v>
      </c>
      <c r="G103" s="132">
        <v>0</v>
      </c>
      <c r="H103" s="132">
        <v>21.050400000000003</v>
      </c>
      <c r="I103" s="132">
        <v>258.27539999999999</v>
      </c>
      <c r="J103" s="132">
        <v>377.57269999999971</v>
      </c>
      <c r="K103" s="132">
        <v>12502.85349999999</v>
      </c>
      <c r="L103" s="132">
        <v>772.7319</v>
      </c>
      <c r="M103" s="132">
        <v>718.12289999999985</v>
      </c>
      <c r="N103" s="132">
        <v>1193.6262999999999</v>
      </c>
      <c r="O103" s="132">
        <v>391.26599999999996</v>
      </c>
      <c r="P103" s="132">
        <v>16235.499099999988</v>
      </c>
      <c r="Q103" s="97">
        <f t="shared" si="7"/>
        <v>391.26599999999996</v>
      </c>
      <c r="R103" s="97">
        <f t="shared" si="8"/>
        <v>2684.4811</v>
      </c>
      <c r="S103" s="84">
        <f t="shared" si="4"/>
        <v>13159.751999999989</v>
      </c>
      <c r="T103" s="64">
        <f t="shared" si="9"/>
        <v>25125.855299999988</v>
      </c>
    </row>
    <row r="104" spans="2:20" hidden="1">
      <c r="B104" s="79"/>
      <c r="C104" s="124"/>
      <c r="D104" s="81" t="s">
        <v>119</v>
      </c>
      <c r="E104" s="87">
        <v>2006</v>
      </c>
      <c r="F104" s="132">
        <v>0</v>
      </c>
      <c r="G104" s="132">
        <v>0</v>
      </c>
      <c r="H104" s="132">
        <v>17.001999999999999</v>
      </c>
      <c r="I104" s="132">
        <v>424.19479999999993</v>
      </c>
      <c r="J104" s="132">
        <v>327.12080000000003</v>
      </c>
      <c r="K104" s="132">
        <v>12928.589800000007</v>
      </c>
      <c r="L104" s="132">
        <v>774.4996000000001</v>
      </c>
      <c r="M104" s="132">
        <v>721.80659999999989</v>
      </c>
      <c r="N104" s="132">
        <v>1228.3786</v>
      </c>
      <c r="O104" s="132">
        <v>491.02499999999998</v>
      </c>
      <c r="P104" s="132">
        <v>16912.617200000008</v>
      </c>
      <c r="Q104" s="97">
        <f t="shared" si="7"/>
        <v>491.02499999999998</v>
      </c>
      <c r="R104" s="97">
        <f t="shared" si="8"/>
        <v>2724.6848</v>
      </c>
      <c r="S104" s="84">
        <f t="shared" si="4"/>
        <v>13696.907400000007</v>
      </c>
      <c r="T104" s="64">
        <f t="shared" si="9"/>
        <v>26781.211800000008</v>
      </c>
    </row>
    <row r="105" spans="2:20" hidden="1">
      <c r="B105" s="79"/>
      <c r="C105" s="124"/>
      <c r="D105" s="81" t="s">
        <v>119</v>
      </c>
      <c r="E105" s="87">
        <v>2007</v>
      </c>
      <c r="F105" s="132">
        <v>0</v>
      </c>
      <c r="G105" s="132">
        <v>0</v>
      </c>
      <c r="H105" s="132">
        <v>0</v>
      </c>
      <c r="I105" s="132">
        <v>437.32839999999987</v>
      </c>
      <c r="J105" s="132">
        <v>282.19379999999944</v>
      </c>
      <c r="K105" s="132">
        <v>13211.876800000038</v>
      </c>
      <c r="L105" s="132">
        <v>865.30369999999994</v>
      </c>
      <c r="M105" s="132">
        <v>748.13350000000003</v>
      </c>
      <c r="N105" s="132">
        <v>1310.4088999999999</v>
      </c>
      <c r="O105" s="132">
        <v>639.4633</v>
      </c>
      <c r="P105" s="132">
        <v>17494.708400000014</v>
      </c>
      <c r="Q105" s="97">
        <f t="shared" si="7"/>
        <v>639.4633</v>
      </c>
      <c r="R105" s="97">
        <f t="shared" si="8"/>
        <v>2923.8460999999998</v>
      </c>
      <c r="S105" s="84">
        <f t="shared" si="4"/>
        <v>13931.399000000038</v>
      </c>
      <c r="T105" s="64">
        <f t="shared" si="9"/>
        <v>29097.570300000036</v>
      </c>
    </row>
    <row r="106" spans="2:20">
      <c r="B106" s="79"/>
      <c r="C106" s="127" t="s">
        <v>122</v>
      </c>
      <c r="D106" s="128" t="s">
        <v>119</v>
      </c>
      <c r="E106" s="107">
        <v>2006</v>
      </c>
      <c r="F106" s="134">
        <v>0</v>
      </c>
      <c r="G106" s="134">
        <v>0</v>
      </c>
      <c r="H106" s="134">
        <v>17.002000000000002</v>
      </c>
      <c r="I106" s="134">
        <v>424.19479999999993</v>
      </c>
      <c r="J106" s="134">
        <v>327.12080000000009</v>
      </c>
      <c r="K106" s="134">
        <v>12928.589800000003</v>
      </c>
      <c r="L106" s="134">
        <v>774.4996000000001</v>
      </c>
      <c r="M106" s="134">
        <v>721.80659999999989</v>
      </c>
      <c r="N106" s="134">
        <v>1228.3785999999998</v>
      </c>
      <c r="O106" s="134">
        <v>491.02499999999998</v>
      </c>
      <c r="P106" s="134">
        <v>16912.617200000022</v>
      </c>
      <c r="Q106" s="130">
        <f t="shared" si="7"/>
        <v>491.02499999999998</v>
      </c>
      <c r="R106" s="130">
        <f t="shared" si="8"/>
        <v>2724.6848</v>
      </c>
      <c r="S106" s="130">
        <f t="shared" si="4"/>
        <v>13696.907400000004</v>
      </c>
      <c r="T106" s="131">
        <f t="shared" si="9"/>
        <v>26781.211800000005</v>
      </c>
    </row>
    <row r="107" spans="2:20">
      <c r="B107" s="79"/>
      <c r="C107" s="127" t="s">
        <v>122</v>
      </c>
      <c r="D107" s="128" t="s">
        <v>119</v>
      </c>
      <c r="E107" s="107">
        <v>2007</v>
      </c>
      <c r="F107" s="134">
        <v>0</v>
      </c>
      <c r="G107" s="134">
        <v>0</v>
      </c>
      <c r="H107" s="134">
        <v>0</v>
      </c>
      <c r="I107" s="134">
        <v>437.32840000000004</v>
      </c>
      <c r="J107" s="134">
        <v>282.19379999999956</v>
      </c>
      <c r="K107" s="134">
        <v>13211.876800000031</v>
      </c>
      <c r="L107" s="134">
        <v>865.30370000000005</v>
      </c>
      <c r="M107" s="134">
        <v>748.13349999999991</v>
      </c>
      <c r="N107" s="134">
        <v>1310.4089000000004</v>
      </c>
      <c r="O107" s="134">
        <v>639.46330000000012</v>
      </c>
      <c r="P107" s="134">
        <v>17494.708400000025</v>
      </c>
      <c r="Q107" s="130">
        <f t="shared" si="7"/>
        <v>639.46330000000012</v>
      </c>
      <c r="R107" s="130">
        <f t="shared" si="8"/>
        <v>2923.8461000000002</v>
      </c>
      <c r="S107" s="130">
        <f t="shared" si="4"/>
        <v>13931.39900000003</v>
      </c>
      <c r="T107" s="131">
        <f t="shared" si="9"/>
        <v>29097.570300000032</v>
      </c>
    </row>
    <row r="108" spans="2:20" s="125" customFormat="1">
      <c r="B108" s="126"/>
      <c r="C108" s="127" t="s">
        <v>122</v>
      </c>
      <c r="D108" s="128" t="s">
        <v>119</v>
      </c>
      <c r="E108" s="129">
        <v>2008</v>
      </c>
      <c r="F108" s="134">
        <v>0</v>
      </c>
      <c r="G108" s="134">
        <v>0</v>
      </c>
      <c r="H108" s="134">
        <v>0</v>
      </c>
      <c r="I108" s="134">
        <v>424.87580000000003</v>
      </c>
      <c r="J108" s="134">
        <v>273.74199999999962</v>
      </c>
      <c r="K108" s="134">
        <v>12948.661900000023</v>
      </c>
      <c r="L108" s="134">
        <v>716.05589999999995</v>
      </c>
      <c r="M108" s="134">
        <v>682.00310000000002</v>
      </c>
      <c r="N108" s="134">
        <v>1225.9191000000001</v>
      </c>
      <c r="O108" s="134">
        <v>720.55500000000006</v>
      </c>
      <c r="P108" s="134">
        <v>16991.812800000029</v>
      </c>
      <c r="Q108" s="130">
        <f t="shared" si="7"/>
        <v>720.55500000000006</v>
      </c>
      <c r="R108" s="130">
        <f t="shared" si="8"/>
        <v>2623.9781000000003</v>
      </c>
      <c r="S108" s="130">
        <f t="shared" si="4"/>
        <v>13647.279700000023</v>
      </c>
      <c r="T108" s="131">
        <f t="shared" si="9"/>
        <v>28724.764000000025</v>
      </c>
    </row>
    <row r="109" spans="2:20" s="125" customFormat="1">
      <c r="B109" s="126"/>
      <c r="C109" s="127" t="s">
        <v>122</v>
      </c>
      <c r="D109" s="128" t="s">
        <v>119</v>
      </c>
      <c r="E109" s="129">
        <v>2009</v>
      </c>
      <c r="F109" s="134">
        <v>0</v>
      </c>
      <c r="G109" s="134">
        <v>0</v>
      </c>
      <c r="H109" s="134">
        <v>0</v>
      </c>
      <c r="I109" s="134">
        <v>494.28329999999994</v>
      </c>
      <c r="J109" s="134">
        <v>274.59249999999986</v>
      </c>
      <c r="K109" s="134">
        <v>13415.519300000004</v>
      </c>
      <c r="L109" s="134">
        <v>776.00089999999989</v>
      </c>
      <c r="M109" s="134">
        <v>786.52649999999971</v>
      </c>
      <c r="N109" s="134">
        <v>1198.4032000000002</v>
      </c>
      <c r="O109" s="134">
        <v>811.596</v>
      </c>
      <c r="P109" s="134">
        <v>17756.921700000021</v>
      </c>
      <c r="Q109" s="130">
        <f t="shared" si="7"/>
        <v>811.596</v>
      </c>
      <c r="R109" s="130">
        <f t="shared" si="8"/>
        <v>2760.9305999999997</v>
      </c>
      <c r="S109" s="130">
        <f t="shared" si="4"/>
        <v>14184.395100000003</v>
      </c>
      <c r="T109" s="131">
        <f t="shared" si="9"/>
        <v>30583.1469</v>
      </c>
    </row>
    <row r="110" spans="2:20" s="125" customFormat="1">
      <c r="B110" s="126"/>
      <c r="C110" s="127" t="s">
        <v>122</v>
      </c>
      <c r="D110" s="128" t="s">
        <v>119</v>
      </c>
      <c r="E110" s="129">
        <v>2010</v>
      </c>
      <c r="F110" s="134">
        <v>0</v>
      </c>
      <c r="G110" s="134">
        <v>0</v>
      </c>
      <c r="H110" s="134">
        <v>0</v>
      </c>
      <c r="I110" s="134">
        <v>434.80540000000013</v>
      </c>
      <c r="J110" s="134">
        <v>249.61740000000054</v>
      </c>
      <c r="K110" s="134">
        <v>13548.032599999913</v>
      </c>
      <c r="L110" s="134">
        <v>812.89540000000022</v>
      </c>
      <c r="M110" s="134">
        <v>805.43109999999979</v>
      </c>
      <c r="N110" s="134">
        <v>1118.1580000000004</v>
      </c>
      <c r="O110" s="134">
        <v>767.92609999999991</v>
      </c>
      <c r="P110" s="134">
        <v>17736.865999999914</v>
      </c>
      <c r="Q110" s="130">
        <f t="shared" si="7"/>
        <v>767.92609999999991</v>
      </c>
      <c r="R110" s="130">
        <f t="shared" si="8"/>
        <v>2736.4845000000005</v>
      </c>
      <c r="S110" s="130">
        <f t="shared" si="4"/>
        <v>14232.455399999913</v>
      </c>
      <c r="T110" s="131">
        <f t="shared" si="9"/>
        <v>30121.169899999913</v>
      </c>
    </row>
    <row r="111" spans="2:20" s="125" customFormat="1">
      <c r="B111" s="126"/>
      <c r="C111" s="127" t="s">
        <v>122</v>
      </c>
      <c r="D111" s="128" t="s">
        <v>119</v>
      </c>
      <c r="E111" s="129">
        <v>2011</v>
      </c>
      <c r="F111" s="134">
        <v>0</v>
      </c>
      <c r="G111" s="134">
        <v>0</v>
      </c>
      <c r="H111" s="134">
        <v>0</v>
      </c>
      <c r="I111" s="134">
        <v>388.09529999999995</v>
      </c>
      <c r="J111" s="134">
        <v>222.33850000000038</v>
      </c>
      <c r="K111" s="134">
        <v>13276.033999999932</v>
      </c>
      <c r="L111" s="134">
        <v>763.23429999999996</v>
      </c>
      <c r="M111" s="134">
        <v>779.79979999999966</v>
      </c>
      <c r="N111" s="134">
        <v>1175.8922000000002</v>
      </c>
      <c r="O111" s="134">
        <v>768.38590000000022</v>
      </c>
      <c r="P111" s="134">
        <v>17373.779999999933</v>
      </c>
      <c r="Q111" s="130">
        <f t="shared" si="7"/>
        <v>768.38590000000022</v>
      </c>
      <c r="R111" s="130">
        <f t="shared" si="8"/>
        <v>2718.9263000000001</v>
      </c>
      <c r="S111" s="130">
        <f t="shared" si="4"/>
        <v>13886.467799999933</v>
      </c>
      <c r="T111" s="131">
        <f t="shared" si="9"/>
        <v>29727.105699999935</v>
      </c>
    </row>
    <row r="112" spans="2:20" s="125" customFormat="1">
      <c r="B112" s="126"/>
      <c r="C112" s="535" t="s">
        <v>122</v>
      </c>
      <c r="D112" s="128" t="s">
        <v>119</v>
      </c>
      <c r="E112" s="129">
        <v>2012</v>
      </c>
      <c r="F112" s="134">
        <v>0</v>
      </c>
      <c r="G112" s="134">
        <v>0</v>
      </c>
      <c r="H112" s="134">
        <v>0</v>
      </c>
      <c r="I112" s="134">
        <v>378.63850000000002</v>
      </c>
      <c r="J112" s="134">
        <v>52.901599999999995</v>
      </c>
      <c r="K112" s="134">
        <v>13345.26519999992</v>
      </c>
      <c r="L112" s="134">
        <v>768.56560000000047</v>
      </c>
      <c r="M112" s="134">
        <v>769.41789999999969</v>
      </c>
      <c r="N112" s="134">
        <v>1167.8806</v>
      </c>
      <c r="O112" s="134">
        <v>738.93420000000003</v>
      </c>
      <c r="P112" s="134">
        <v>17221.603599999929</v>
      </c>
      <c r="Q112" s="130">
        <f t="shared" si="7"/>
        <v>738.93420000000003</v>
      </c>
      <c r="R112" s="130">
        <f t="shared" si="8"/>
        <v>2705.8641000000002</v>
      </c>
      <c r="S112" s="130">
        <f t="shared" si="4"/>
        <v>13776.80529999992</v>
      </c>
      <c r="T112" s="131">
        <f t="shared" si="9"/>
        <v>29283.739599999921</v>
      </c>
    </row>
    <row r="113" spans="2:20" s="125" customFormat="1">
      <c r="C113" s="127" t="s">
        <v>122</v>
      </c>
      <c r="D113" s="536" t="s">
        <v>119</v>
      </c>
      <c r="E113" s="528">
        <v>2013</v>
      </c>
      <c r="F113" s="529">
        <v>0</v>
      </c>
      <c r="G113" s="529">
        <v>0</v>
      </c>
      <c r="H113" s="529">
        <v>0</v>
      </c>
      <c r="I113" s="529">
        <v>323.10410000000007</v>
      </c>
      <c r="J113" s="529">
        <v>45.493000000000002</v>
      </c>
      <c r="K113" s="529">
        <v>13112.26699999992</v>
      </c>
      <c r="L113" s="529">
        <v>689.93700000000001</v>
      </c>
      <c r="M113" s="529">
        <v>1167.3802999999996</v>
      </c>
      <c r="N113" s="529">
        <v>1198.1442999999999</v>
      </c>
      <c r="O113" s="529">
        <v>740.38189999999986</v>
      </c>
      <c r="P113" s="529">
        <v>17276.7075999999</v>
      </c>
      <c r="Q113" s="530">
        <f t="shared" si="7"/>
        <v>740.38189999999986</v>
      </c>
      <c r="R113" s="530">
        <f t="shared" si="8"/>
        <v>3055.4615999999996</v>
      </c>
      <c r="S113" s="530">
        <f t="shared" si="4"/>
        <v>13480.864099999921</v>
      </c>
      <c r="T113" s="531">
        <f t="shared" si="9"/>
        <v>30051.067899999922</v>
      </c>
    </row>
    <row r="114" spans="2:20" hidden="1">
      <c r="B114" s="79"/>
      <c r="C114" s="124" t="s">
        <v>123</v>
      </c>
      <c r="D114" s="77" t="s">
        <v>179</v>
      </c>
      <c r="E114" s="87">
        <v>2005</v>
      </c>
      <c r="F114" s="132">
        <v>0</v>
      </c>
      <c r="G114" s="132">
        <v>0</v>
      </c>
      <c r="H114" s="132">
        <v>0</v>
      </c>
      <c r="I114" s="132">
        <v>111.5748</v>
      </c>
      <c r="J114" s="132">
        <v>9.4629999999999992</v>
      </c>
      <c r="K114" s="132">
        <v>6641.2052999999996</v>
      </c>
      <c r="L114" s="132">
        <v>122.53860000000002</v>
      </c>
      <c r="M114" s="132">
        <v>2065.6307000000015</v>
      </c>
      <c r="N114" s="132">
        <v>680.54549999999995</v>
      </c>
      <c r="O114" s="132">
        <v>430.44909999999999</v>
      </c>
      <c r="P114" s="132">
        <v>10061.40699999999</v>
      </c>
      <c r="Q114" s="97">
        <f t="shared" si="7"/>
        <v>430.44909999999999</v>
      </c>
      <c r="R114" s="97">
        <f t="shared" si="8"/>
        <v>2868.7148000000016</v>
      </c>
      <c r="S114" s="84">
        <f t="shared" si="4"/>
        <v>6762.2430999999997</v>
      </c>
      <c r="T114" s="64">
        <f t="shared" si="9"/>
        <v>19672.878500000006</v>
      </c>
    </row>
    <row r="115" spans="2:20" hidden="1">
      <c r="B115" s="79"/>
      <c r="C115" s="124"/>
      <c r="D115" s="81" t="s">
        <v>180</v>
      </c>
      <c r="E115" s="87">
        <v>2006</v>
      </c>
      <c r="F115" s="132">
        <v>0</v>
      </c>
      <c r="G115" s="132">
        <v>0</v>
      </c>
      <c r="H115" s="132">
        <v>0</v>
      </c>
      <c r="I115" s="132">
        <v>138.7209</v>
      </c>
      <c r="J115" s="132">
        <v>9.6078000000000028</v>
      </c>
      <c r="K115" s="132">
        <v>6576.2148999999945</v>
      </c>
      <c r="L115" s="132">
        <v>112.74870000000001</v>
      </c>
      <c r="M115" s="132">
        <v>2108.2185999999992</v>
      </c>
      <c r="N115" s="132">
        <v>578.37709999999993</v>
      </c>
      <c r="O115" s="132">
        <v>413.49760000000003</v>
      </c>
      <c r="P115" s="132">
        <v>9937.385599999996</v>
      </c>
      <c r="Q115" s="97">
        <f t="shared" si="7"/>
        <v>413.49760000000003</v>
      </c>
      <c r="R115" s="97">
        <f t="shared" si="8"/>
        <v>2799.344399999999</v>
      </c>
      <c r="S115" s="84">
        <f t="shared" si="4"/>
        <v>6724.5435999999945</v>
      </c>
      <c r="T115" s="64">
        <f t="shared" si="9"/>
        <v>19257.552799999994</v>
      </c>
    </row>
    <row r="116" spans="2:20" hidden="1">
      <c r="B116" s="79"/>
      <c r="C116" s="124"/>
      <c r="D116" s="81" t="s">
        <v>180</v>
      </c>
      <c r="E116" s="87">
        <v>2007</v>
      </c>
      <c r="F116" s="132">
        <v>0</v>
      </c>
      <c r="G116" s="132">
        <v>0</v>
      </c>
      <c r="H116" s="132">
        <v>0</v>
      </c>
      <c r="I116" s="132">
        <v>140.5367</v>
      </c>
      <c r="J116" s="132">
        <v>358.79789999999974</v>
      </c>
      <c r="K116" s="132">
        <v>8199.5418999999802</v>
      </c>
      <c r="L116" s="132">
        <v>583.72959999999989</v>
      </c>
      <c r="M116" s="132">
        <v>2310.8357999999976</v>
      </c>
      <c r="N116" s="132">
        <v>607.07529999999997</v>
      </c>
      <c r="O116" s="132">
        <v>387.0132999999999</v>
      </c>
      <c r="P116" s="132">
        <v>12587.53049999999</v>
      </c>
      <c r="Q116" s="97">
        <f t="shared" si="7"/>
        <v>387.0132999999999</v>
      </c>
      <c r="R116" s="97">
        <f t="shared" si="8"/>
        <v>3501.6406999999977</v>
      </c>
      <c r="S116" s="84">
        <f t="shared" si="4"/>
        <v>8698.8764999999803</v>
      </c>
      <c r="T116" s="64">
        <f t="shared" si="9"/>
        <v>23073.931599999971</v>
      </c>
    </row>
    <row r="117" spans="2:20" hidden="1">
      <c r="B117" s="79"/>
      <c r="C117" s="124"/>
      <c r="D117" s="81" t="s">
        <v>180</v>
      </c>
      <c r="E117" s="87">
        <v>2008</v>
      </c>
      <c r="F117" s="132">
        <v>0</v>
      </c>
      <c r="G117" s="132">
        <v>0</v>
      </c>
      <c r="H117" s="132">
        <v>0</v>
      </c>
      <c r="I117" s="132">
        <v>166.46000000000004</v>
      </c>
      <c r="J117" s="132">
        <v>326.60699999999986</v>
      </c>
      <c r="K117" s="132">
        <v>8517.1207999999824</v>
      </c>
      <c r="L117" s="132">
        <v>526.13610000000006</v>
      </c>
      <c r="M117" s="132">
        <v>2324.5954999999985</v>
      </c>
      <c r="N117" s="132">
        <v>579.21739999999988</v>
      </c>
      <c r="O117" s="132">
        <v>350.52839999999998</v>
      </c>
      <c r="P117" s="132">
        <v>12790.665199999996</v>
      </c>
      <c r="Q117" s="97">
        <f t="shared" si="7"/>
        <v>350.52839999999998</v>
      </c>
      <c r="R117" s="97">
        <f t="shared" si="8"/>
        <v>3429.9489999999987</v>
      </c>
      <c r="S117" s="84">
        <f t="shared" si="4"/>
        <v>9010.1877999999815</v>
      </c>
      <c r="T117" s="64">
        <f t="shared" si="9"/>
        <v>22805.318799999979</v>
      </c>
    </row>
    <row r="118" spans="2:20" hidden="1">
      <c r="B118" s="79"/>
      <c r="C118" s="124"/>
      <c r="D118" s="81" t="s">
        <v>180</v>
      </c>
      <c r="E118" s="87">
        <v>2009</v>
      </c>
      <c r="F118" s="132">
        <v>0</v>
      </c>
      <c r="G118" s="132">
        <v>0</v>
      </c>
      <c r="H118" s="132">
        <v>0</v>
      </c>
      <c r="I118" s="132">
        <v>249.20230000000004</v>
      </c>
      <c r="J118" s="132">
        <v>304.91519999999991</v>
      </c>
      <c r="K118" s="132">
        <v>8946.9400999999762</v>
      </c>
      <c r="L118" s="132">
        <v>585.52059999999994</v>
      </c>
      <c r="M118" s="132">
        <v>2530.4374000000003</v>
      </c>
      <c r="N118" s="132">
        <v>589.74599999999998</v>
      </c>
      <c r="O118" s="132">
        <v>356.64919999999995</v>
      </c>
      <c r="P118" s="132">
        <v>13563.410799999972</v>
      </c>
      <c r="Q118" s="97">
        <f t="shared" si="7"/>
        <v>356.64919999999995</v>
      </c>
      <c r="R118" s="97">
        <f t="shared" si="8"/>
        <v>3705.7040000000002</v>
      </c>
      <c r="S118" s="84">
        <f t="shared" si="4"/>
        <v>9501.0575999999764</v>
      </c>
      <c r="T118" s="64">
        <f t="shared" si="9"/>
        <v>24184.661599999978</v>
      </c>
    </row>
    <row r="119" spans="2:20" hidden="1">
      <c r="B119" s="79"/>
      <c r="C119" s="124"/>
      <c r="D119" s="81" t="s">
        <v>180</v>
      </c>
      <c r="E119" s="87">
        <v>2010</v>
      </c>
      <c r="F119" s="132">
        <v>0</v>
      </c>
      <c r="G119" s="132">
        <v>0</v>
      </c>
      <c r="H119" s="132">
        <v>0</v>
      </c>
      <c r="I119" s="132">
        <v>161.49799999999993</v>
      </c>
      <c r="J119" s="132">
        <v>267.28919999999994</v>
      </c>
      <c r="K119" s="132">
        <v>9147.9987999999921</v>
      </c>
      <c r="L119" s="132">
        <v>532.65789999999993</v>
      </c>
      <c r="M119" s="132">
        <v>2638.5274999999992</v>
      </c>
      <c r="N119" s="132">
        <v>667.60820000000024</v>
      </c>
      <c r="O119" s="132">
        <v>341.90199999999999</v>
      </c>
      <c r="P119" s="132">
        <v>13757.481599999997</v>
      </c>
      <c r="Q119" s="97">
        <f t="shared" si="7"/>
        <v>341.90199999999999</v>
      </c>
      <c r="R119" s="97">
        <f t="shared" si="8"/>
        <v>3838.7935999999995</v>
      </c>
      <c r="S119" s="84">
        <f t="shared" si="4"/>
        <v>9576.7859999999928</v>
      </c>
      <c r="T119" s="64">
        <f t="shared" si="9"/>
        <v>24512.186799999992</v>
      </c>
    </row>
    <row r="120" spans="2:20" hidden="1">
      <c r="B120" s="79"/>
      <c r="C120" s="124"/>
      <c r="D120" s="81" t="s">
        <v>180</v>
      </c>
      <c r="E120" s="87">
        <v>2011</v>
      </c>
      <c r="F120" s="132">
        <v>0</v>
      </c>
      <c r="G120" s="132">
        <v>0</v>
      </c>
      <c r="H120" s="132">
        <v>0</v>
      </c>
      <c r="I120" s="132">
        <v>142.471</v>
      </c>
      <c r="J120" s="132">
        <v>174.1679</v>
      </c>
      <c r="K120" s="132">
        <v>7817.207699999999</v>
      </c>
      <c r="L120" s="132">
        <v>441.22030000000007</v>
      </c>
      <c r="M120" s="132">
        <v>2620.1369</v>
      </c>
      <c r="N120" s="132">
        <v>672.23059999999987</v>
      </c>
      <c r="O120" s="132">
        <v>326.08600000000001</v>
      </c>
      <c r="P120" s="132">
        <v>12193.520399999999</v>
      </c>
      <c r="Q120" s="97">
        <f t="shared" si="7"/>
        <v>326.08600000000001</v>
      </c>
      <c r="R120" s="97">
        <f t="shared" si="8"/>
        <v>3733.5877999999998</v>
      </c>
      <c r="S120" s="84">
        <f t="shared" si="4"/>
        <v>8133.8465999999989</v>
      </c>
      <c r="T120" s="64">
        <f t="shared" si="9"/>
        <v>22595.47</v>
      </c>
    </row>
    <row r="121" spans="2:20" hidden="1">
      <c r="B121" s="79"/>
      <c r="C121" s="124"/>
      <c r="D121" s="81" t="s">
        <v>180</v>
      </c>
      <c r="E121" s="82">
        <v>2012</v>
      </c>
      <c r="F121" s="133">
        <v>0</v>
      </c>
      <c r="G121" s="133">
        <v>0</v>
      </c>
      <c r="H121" s="133">
        <v>0</v>
      </c>
      <c r="I121" s="133">
        <v>136.15889999999999</v>
      </c>
      <c r="J121" s="133">
        <v>112.04790000000003</v>
      </c>
      <c r="K121" s="133">
        <v>7555.4841999999999</v>
      </c>
      <c r="L121" s="133">
        <v>428.25200000000001</v>
      </c>
      <c r="M121" s="133">
        <v>2571.0132999999996</v>
      </c>
      <c r="N121" s="133">
        <v>664.61930000000007</v>
      </c>
      <c r="O121" s="133">
        <v>352.62149999999991</v>
      </c>
      <c r="P121" s="133">
        <v>11820.197100000005</v>
      </c>
      <c r="Q121" s="97">
        <f t="shared" si="7"/>
        <v>352.62149999999991</v>
      </c>
      <c r="R121" s="97">
        <f t="shared" si="8"/>
        <v>3663.8845999999994</v>
      </c>
      <c r="S121" s="84">
        <f t="shared" si="4"/>
        <v>7803.6909999999998</v>
      </c>
      <c r="T121" s="64">
        <f t="shared" si="9"/>
        <v>22321.559799999995</v>
      </c>
    </row>
    <row r="122" spans="2:20" hidden="1">
      <c r="B122" s="79"/>
      <c r="C122" s="124"/>
      <c r="D122" s="77" t="s">
        <v>180</v>
      </c>
      <c r="E122" s="87">
        <v>2005</v>
      </c>
      <c r="F122" s="132">
        <v>0</v>
      </c>
      <c r="G122" s="132">
        <v>0</v>
      </c>
      <c r="H122" s="132">
        <v>0</v>
      </c>
      <c r="I122" s="132">
        <v>124.59219999999999</v>
      </c>
      <c r="J122" s="132">
        <v>0.92999999999999994</v>
      </c>
      <c r="K122" s="132">
        <v>1649.6246999999998</v>
      </c>
      <c r="L122" s="132">
        <v>13.213000000000001</v>
      </c>
      <c r="M122" s="132">
        <v>335.7381000000002</v>
      </c>
      <c r="N122" s="132">
        <v>131.26780000000002</v>
      </c>
      <c r="O122" s="132">
        <v>100.4958</v>
      </c>
      <c r="P122" s="132">
        <v>2355.8615999999979</v>
      </c>
      <c r="Q122" s="97">
        <f t="shared" si="7"/>
        <v>100.4958</v>
      </c>
      <c r="R122" s="97">
        <f t="shared" si="8"/>
        <v>480.21890000000025</v>
      </c>
      <c r="S122" s="84">
        <f t="shared" si="4"/>
        <v>1775.1468999999997</v>
      </c>
      <c r="T122" s="64">
        <f t="shared" si="9"/>
        <v>4220.7616000000007</v>
      </c>
    </row>
    <row r="123" spans="2:20" hidden="1">
      <c r="B123" s="79"/>
      <c r="C123" s="124"/>
      <c r="D123" s="81" t="s">
        <v>179</v>
      </c>
      <c r="E123" s="87">
        <v>2006</v>
      </c>
      <c r="F123" s="132">
        <v>0</v>
      </c>
      <c r="G123" s="132">
        <v>0</v>
      </c>
      <c r="H123" s="132">
        <v>0</v>
      </c>
      <c r="I123" s="132">
        <v>100.3674</v>
      </c>
      <c r="J123" s="132">
        <v>0.46660000000000001</v>
      </c>
      <c r="K123" s="132">
        <v>1359.0334</v>
      </c>
      <c r="L123" s="132">
        <v>11.235500000000002</v>
      </c>
      <c r="M123" s="132">
        <v>301.10489999999993</v>
      </c>
      <c r="N123" s="132">
        <v>95.731499999999997</v>
      </c>
      <c r="O123" s="132">
        <v>114.3481</v>
      </c>
      <c r="P123" s="132">
        <v>1982.287399999999</v>
      </c>
      <c r="Q123" s="97">
        <f t="shared" si="7"/>
        <v>114.3481</v>
      </c>
      <c r="R123" s="97">
        <f t="shared" si="8"/>
        <v>408.07189999999991</v>
      </c>
      <c r="S123" s="84">
        <f t="shared" ref="S123:S192" si="10">SUM(F123:K123)</f>
        <v>1459.8674000000001</v>
      </c>
      <c r="T123" s="64">
        <f t="shared" si="9"/>
        <v>3827.5640999999996</v>
      </c>
    </row>
    <row r="124" spans="2:20" hidden="1">
      <c r="B124" s="79"/>
      <c r="C124" s="124"/>
      <c r="D124" s="81" t="s">
        <v>179</v>
      </c>
      <c r="E124" s="87">
        <v>2007</v>
      </c>
      <c r="F124" s="132">
        <v>0</v>
      </c>
      <c r="G124" s="132">
        <v>0</v>
      </c>
      <c r="H124" s="132">
        <v>0</v>
      </c>
      <c r="I124" s="132">
        <v>131.4726</v>
      </c>
      <c r="J124" s="132">
        <v>8.2086000000000006</v>
      </c>
      <c r="K124" s="132">
        <v>1033.1026000000004</v>
      </c>
      <c r="L124" s="132">
        <v>65.461500000000001</v>
      </c>
      <c r="M124" s="132">
        <v>304.01609999999988</v>
      </c>
      <c r="N124" s="132">
        <v>108.5993</v>
      </c>
      <c r="O124" s="132">
        <v>156.30109999999999</v>
      </c>
      <c r="P124" s="132">
        <v>1807.1618000000001</v>
      </c>
      <c r="Q124" s="97">
        <f t="shared" si="7"/>
        <v>156.30109999999999</v>
      </c>
      <c r="R124" s="97">
        <f t="shared" si="8"/>
        <v>478.07689999999991</v>
      </c>
      <c r="S124" s="84">
        <f t="shared" si="10"/>
        <v>1172.7838000000004</v>
      </c>
      <c r="T124" s="64">
        <f t="shared" si="9"/>
        <v>4170.0254999999997</v>
      </c>
    </row>
    <row r="125" spans="2:20" hidden="1">
      <c r="B125" s="79"/>
      <c r="C125" s="124"/>
      <c r="D125" s="81" t="s">
        <v>179</v>
      </c>
      <c r="E125" s="87">
        <v>2008</v>
      </c>
      <c r="F125" s="132">
        <v>0</v>
      </c>
      <c r="G125" s="132">
        <v>0</v>
      </c>
      <c r="H125" s="132">
        <v>0</v>
      </c>
      <c r="I125" s="132">
        <v>173.48859999999999</v>
      </c>
      <c r="J125" s="132">
        <v>2.8334000000000001</v>
      </c>
      <c r="K125" s="132">
        <v>830.17780000000027</v>
      </c>
      <c r="L125" s="132">
        <v>77.903000000000034</v>
      </c>
      <c r="M125" s="132">
        <v>250.05149999999995</v>
      </c>
      <c r="N125" s="132">
        <v>92.972699999999961</v>
      </c>
      <c r="O125" s="132">
        <v>218.2775</v>
      </c>
      <c r="P125" s="132">
        <v>1645.7045000000003</v>
      </c>
      <c r="Q125" s="97">
        <f t="shared" si="7"/>
        <v>218.2775</v>
      </c>
      <c r="R125" s="97">
        <f t="shared" si="8"/>
        <v>420.92719999999997</v>
      </c>
      <c r="S125" s="84">
        <f t="shared" si="10"/>
        <v>1006.4998000000003</v>
      </c>
      <c r="T125" s="64">
        <f t="shared" si="9"/>
        <v>4452.0564000000004</v>
      </c>
    </row>
    <row r="126" spans="2:20" hidden="1">
      <c r="B126" s="79"/>
      <c r="C126" s="124"/>
      <c r="D126" s="81" t="s">
        <v>179</v>
      </c>
      <c r="E126" s="87">
        <v>2009</v>
      </c>
      <c r="F126" s="132">
        <v>0</v>
      </c>
      <c r="G126" s="132">
        <v>0</v>
      </c>
      <c r="H126" s="132">
        <v>0</v>
      </c>
      <c r="I126" s="132">
        <v>223.4924</v>
      </c>
      <c r="J126" s="132">
        <v>0.76660000000000006</v>
      </c>
      <c r="K126" s="132">
        <v>849.57060000000001</v>
      </c>
      <c r="L126" s="132">
        <v>64.906199999999998</v>
      </c>
      <c r="M126" s="132">
        <v>243.44259999999997</v>
      </c>
      <c r="N126" s="132">
        <v>75.162400000000005</v>
      </c>
      <c r="O126" s="132">
        <v>269.28009999999995</v>
      </c>
      <c r="P126" s="132">
        <v>1726.6208999999997</v>
      </c>
      <c r="Q126" s="97">
        <f t="shared" si="7"/>
        <v>269.28009999999995</v>
      </c>
      <c r="R126" s="97">
        <f t="shared" si="8"/>
        <v>383.51119999999997</v>
      </c>
      <c r="S126" s="84">
        <f t="shared" si="10"/>
        <v>1073.8296</v>
      </c>
      <c r="T126" s="64">
        <f t="shared" si="9"/>
        <v>4917.1641999999993</v>
      </c>
    </row>
    <row r="127" spans="2:20" hidden="1">
      <c r="B127" s="79"/>
      <c r="C127" s="124"/>
      <c r="D127" s="81" t="s">
        <v>179</v>
      </c>
      <c r="E127" s="87">
        <v>2010</v>
      </c>
      <c r="F127" s="132">
        <v>0</v>
      </c>
      <c r="G127" s="132">
        <v>0</v>
      </c>
      <c r="H127" s="132">
        <v>0</v>
      </c>
      <c r="I127" s="132">
        <v>195.71280000000002</v>
      </c>
      <c r="J127" s="132">
        <v>0.50009999999999999</v>
      </c>
      <c r="K127" s="132">
        <v>753.68280000000004</v>
      </c>
      <c r="L127" s="132">
        <v>53.691499999999998</v>
      </c>
      <c r="M127" s="132">
        <v>236.82659999999998</v>
      </c>
      <c r="N127" s="132">
        <v>82.572400000000002</v>
      </c>
      <c r="O127" s="132">
        <v>342.87540000000018</v>
      </c>
      <c r="P127" s="132">
        <v>1665.8616000000004</v>
      </c>
      <c r="Q127" s="97">
        <f t="shared" si="7"/>
        <v>342.87540000000018</v>
      </c>
      <c r="R127" s="97">
        <f t="shared" si="8"/>
        <v>373.09050000000002</v>
      </c>
      <c r="S127" s="84">
        <f t="shared" si="10"/>
        <v>949.89570000000003</v>
      </c>
      <c r="T127" s="64">
        <f t="shared" si="9"/>
        <v>5497.9212000000016</v>
      </c>
    </row>
    <row r="128" spans="2:20" hidden="1">
      <c r="B128" s="79"/>
      <c r="C128" s="124"/>
      <c r="D128" s="81" t="s">
        <v>179</v>
      </c>
      <c r="E128" s="87">
        <v>2011</v>
      </c>
      <c r="F128" s="132">
        <v>0</v>
      </c>
      <c r="G128" s="132">
        <v>0</v>
      </c>
      <c r="H128" s="132">
        <v>0</v>
      </c>
      <c r="I128" s="132">
        <v>98.128399999999985</v>
      </c>
      <c r="J128" s="132">
        <v>0.48060000000000003</v>
      </c>
      <c r="K128" s="132">
        <v>529.12469999999996</v>
      </c>
      <c r="L128" s="132">
        <v>26.796100000000003</v>
      </c>
      <c r="M128" s="132">
        <v>195.45759999999999</v>
      </c>
      <c r="N128" s="132">
        <v>68.007400000000004</v>
      </c>
      <c r="O128" s="132">
        <v>375.15479999999997</v>
      </c>
      <c r="P128" s="132">
        <v>1293.1496</v>
      </c>
      <c r="Q128" s="97">
        <f t="shared" si="7"/>
        <v>375.15479999999997</v>
      </c>
      <c r="R128" s="97">
        <f t="shared" si="8"/>
        <v>290.2611</v>
      </c>
      <c r="S128" s="84">
        <f t="shared" si="10"/>
        <v>627.7337</v>
      </c>
      <c r="T128" s="64">
        <f t="shared" si="9"/>
        <v>5250.0649999999996</v>
      </c>
    </row>
    <row r="129" spans="2:20" hidden="1">
      <c r="B129" s="79"/>
      <c r="C129" s="124"/>
      <c r="D129" s="81" t="s">
        <v>179</v>
      </c>
      <c r="E129" s="82">
        <v>2012</v>
      </c>
      <c r="F129" s="133">
        <v>0</v>
      </c>
      <c r="G129" s="133">
        <v>0</v>
      </c>
      <c r="H129" s="133">
        <v>0</v>
      </c>
      <c r="I129" s="133">
        <v>77.472300000000004</v>
      </c>
      <c r="J129" s="133">
        <v>1.9400000000000001E-2</v>
      </c>
      <c r="K129" s="133">
        <v>569.73739999999998</v>
      </c>
      <c r="L129" s="133">
        <v>21.9374</v>
      </c>
      <c r="M129" s="133">
        <v>164.9306</v>
      </c>
      <c r="N129" s="133">
        <v>41.349300000000007</v>
      </c>
      <c r="O129" s="133">
        <v>391.56439999999998</v>
      </c>
      <c r="P129" s="133">
        <v>1267.0108000000002</v>
      </c>
      <c r="Q129" s="97">
        <f t="shared" si="7"/>
        <v>391.56439999999998</v>
      </c>
      <c r="R129" s="97">
        <f t="shared" si="8"/>
        <v>228.21729999999999</v>
      </c>
      <c r="S129" s="84">
        <f t="shared" si="10"/>
        <v>647.22910000000002</v>
      </c>
      <c r="T129" s="64">
        <f t="shared" si="9"/>
        <v>5247.5249999999996</v>
      </c>
    </row>
    <row r="130" spans="2:20" hidden="1">
      <c r="B130" s="79"/>
      <c r="C130" s="124"/>
      <c r="D130" s="77" t="s">
        <v>119</v>
      </c>
      <c r="E130" s="87">
        <v>2005</v>
      </c>
      <c r="F130" s="132">
        <v>0</v>
      </c>
      <c r="G130" s="132">
        <v>0</v>
      </c>
      <c r="H130" s="132">
        <v>0</v>
      </c>
      <c r="I130" s="132">
        <v>236.16699999999997</v>
      </c>
      <c r="J130" s="132">
        <v>10.392999999999999</v>
      </c>
      <c r="K130" s="132">
        <v>8290.83</v>
      </c>
      <c r="L130" s="132">
        <v>135.75160000000002</v>
      </c>
      <c r="M130" s="132">
        <v>2401.3688000000016</v>
      </c>
      <c r="N130" s="132">
        <v>811.81330000000003</v>
      </c>
      <c r="O130" s="132">
        <v>530.94489999999996</v>
      </c>
      <c r="P130" s="132">
        <v>12417.268599999989</v>
      </c>
      <c r="Q130" s="97">
        <f t="shared" si="7"/>
        <v>530.94489999999996</v>
      </c>
      <c r="R130" s="97">
        <f t="shared" si="8"/>
        <v>3348.9337000000014</v>
      </c>
      <c r="S130" s="84">
        <f t="shared" si="10"/>
        <v>8537.39</v>
      </c>
      <c r="T130" s="64">
        <f t="shared" si="9"/>
        <v>23893.640100000004</v>
      </c>
    </row>
    <row r="131" spans="2:20" hidden="1">
      <c r="B131" s="79"/>
      <c r="C131" s="124"/>
      <c r="D131" s="81" t="s">
        <v>119</v>
      </c>
      <c r="E131" s="87">
        <v>2006</v>
      </c>
      <c r="F131" s="132">
        <v>0</v>
      </c>
      <c r="G131" s="132">
        <v>0</v>
      </c>
      <c r="H131" s="132">
        <v>0</v>
      </c>
      <c r="I131" s="132">
        <v>239.0883</v>
      </c>
      <c r="J131" s="132">
        <v>10.074400000000002</v>
      </c>
      <c r="K131" s="132">
        <v>7935.2482999999947</v>
      </c>
      <c r="L131" s="132">
        <v>123.98420000000002</v>
      </c>
      <c r="M131" s="132">
        <v>2409.3234999999991</v>
      </c>
      <c r="N131" s="132">
        <v>674.10859999999991</v>
      </c>
      <c r="O131" s="132">
        <v>527.84570000000008</v>
      </c>
      <c r="P131" s="132">
        <v>11919.672999999995</v>
      </c>
      <c r="Q131" s="97">
        <f t="shared" si="7"/>
        <v>527.84570000000008</v>
      </c>
      <c r="R131" s="97">
        <f t="shared" si="8"/>
        <v>3207.416299999999</v>
      </c>
      <c r="S131" s="84">
        <f t="shared" si="10"/>
        <v>8184.4109999999946</v>
      </c>
      <c r="T131" s="64">
        <f t="shared" si="9"/>
        <v>23085.116899999994</v>
      </c>
    </row>
    <row r="132" spans="2:20" hidden="1">
      <c r="B132" s="79"/>
      <c r="C132" s="124"/>
      <c r="D132" s="81" t="s">
        <v>119</v>
      </c>
      <c r="E132" s="87">
        <v>2007</v>
      </c>
      <c r="F132" s="132">
        <v>0</v>
      </c>
      <c r="G132" s="132">
        <v>0</v>
      </c>
      <c r="H132" s="132">
        <v>0</v>
      </c>
      <c r="I132" s="132">
        <v>272.0093</v>
      </c>
      <c r="J132" s="132">
        <v>367.00649999999973</v>
      </c>
      <c r="K132" s="132">
        <v>9232.6444999999803</v>
      </c>
      <c r="L132" s="132">
        <v>649.19109999999989</v>
      </c>
      <c r="M132" s="132">
        <v>2614.8518999999974</v>
      </c>
      <c r="N132" s="132">
        <v>715.67459999999994</v>
      </c>
      <c r="O132" s="132">
        <v>543.31439999999986</v>
      </c>
      <c r="P132" s="132">
        <v>14394.69229999999</v>
      </c>
      <c r="Q132" s="97">
        <f t="shared" si="7"/>
        <v>543.31439999999986</v>
      </c>
      <c r="R132" s="97">
        <f t="shared" si="8"/>
        <v>3979.7175999999972</v>
      </c>
      <c r="S132" s="84">
        <f t="shared" si="10"/>
        <v>9871.6602999999795</v>
      </c>
      <c r="T132" s="64">
        <f t="shared" si="9"/>
        <v>27243.957099999971</v>
      </c>
    </row>
    <row r="133" spans="2:20">
      <c r="B133" s="79"/>
      <c r="C133" s="123" t="s">
        <v>123</v>
      </c>
      <c r="D133" s="94" t="s">
        <v>119</v>
      </c>
      <c r="E133" s="100">
        <v>2006</v>
      </c>
      <c r="F133" s="135">
        <v>0</v>
      </c>
      <c r="G133" s="135">
        <v>0</v>
      </c>
      <c r="H133" s="135">
        <v>0</v>
      </c>
      <c r="I133" s="135">
        <v>239.0883</v>
      </c>
      <c r="J133" s="135">
        <v>10.074400000000002</v>
      </c>
      <c r="K133" s="135">
        <v>7935.2482999999984</v>
      </c>
      <c r="L133" s="135">
        <v>123.9842</v>
      </c>
      <c r="M133" s="135">
        <v>2409.3234999999981</v>
      </c>
      <c r="N133" s="135">
        <v>674.10859999999991</v>
      </c>
      <c r="O133" s="135">
        <v>527.84569999999997</v>
      </c>
      <c r="P133" s="135">
        <v>11919.672999999988</v>
      </c>
      <c r="Q133" s="97">
        <f t="shared" si="7"/>
        <v>527.84569999999997</v>
      </c>
      <c r="R133" s="97">
        <f t="shared" si="8"/>
        <v>3207.416299999998</v>
      </c>
      <c r="S133" s="97">
        <f t="shared" si="10"/>
        <v>8184.4109999999982</v>
      </c>
      <c r="T133" s="98">
        <f t="shared" si="9"/>
        <v>23085.116899999994</v>
      </c>
    </row>
    <row r="134" spans="2:20">
      <c r="B134" s="79"/>
      <c r="C134" s="123" t="s">
        <v>123</v>
      </c>
      <c r="D134" s="94" t="s">
        <v>119</v>
      </c>
      <c r="E134" s="100">
        <v>2007</v>
      </c>
      <c r="F134" s="135">
        <v>0</v>
      </c>
      <c r="G134" s="135">
        <v>0</v>
      </c>
      <c r="H134" s="135">
        <v>0</v>
      </c>
      <c r="I134" s="135">
        <v>272.00930000000005</v>
      </c>
      <c r="J134" s="135">
        <v>366.73699999999991</v>
      </c>
      <c r="K134" s="135">
        <v>9232.6444999999876</v>
      </c>
      <c r="L134" s="135">
        <v>649.19110000000001</v>
      </c>
      <c r="M134" s="135">
        <v>2614.8518999999974</v>
      </c>
      <c r="N134" s="135">
        <v>715.67460000000017</v>
      </c>
      <c r="O134" s="135">
        <v>543.31439999999998</v>
      </c>
      <c r="P134" s="135">
        <v>14394.4228</v>
      </c>
      <c r="Q134" s="97">
        <f t="shared" si="7"/>
        <v>543.31439999999998</v>
      </c>
      <c r="R134" s="97">
        <f t="shared" si="8"/>
        <v>3979.7175999999977</v>
      </c>
      <c r="S134" s="97">
        <f t="shared" si="10"/>
        <v>9871.3907999999883</v>
      </c>
      <c r="T134" s="98">
        <f t="shared" si="9"/>
        <v>27243.687599999983</v>
      </c>
    </row>
    <row r="135" spans="2:20" s="99" customFormat="1">
      <c r="B135" s="90"/>
      <c r="C135" s="123" t="s">
        <v>123</v>
      </c>
      <c r="D135" s="94" t="s">
        <v>119</v>
      </c>
      <c r="E135" s="100">
        <v>2008</v>
      </c>
      <c r="F135" s="135">
        <v>0</v>
      </c>
      <c r="G135" s="135">
        <v>0</v>
      </c>
      <c r="H135" s="135">
        <v>0</v>
      </c>
      <c r="I135" s="135">
        <v>339.94860000000006</v>
      </c>
      <c r="J135" s="135">
        <v>329.44039999999984</v>
      </c>
      <c r="K135" s="135">
        <v>9347.2985999999819</v>
      </c>
      <c r="L135" s="135">
        <v>604.03910000000008</v>
      </c>
      <c r="M135" s="135">
        <v>2574.6469999999986</v>
      </c>
      <c r="N135" s="135">
        <v>672.1900999999998</v>
      </c>
      <c r="O135" s="135">
        <v>568.80589999999995</v>
      </c>
      <c r="P135" s="135">
        <v>14436.369699999996</v>
      </c>
      <c r="Q135" s="97">
        <f t="shared" si="7"/>
        <v>568.80589999999995</v>
      </c>
      <c r="R135" s="97">
        <f t="shared" si="8"/>
        <v>3850.8761999999983</v>
      </c>
      <c r="S135" s="97">
        <f t="shared" si="10"/>
        <v>10016.687599999981</v>
      </c>
      <c r="T135" s="98">
        <f t="shared" si="9"/>
        <v>27257.375199999973</v>
      </c>
    </row>
    <row r="136" spans="2:20" s="99" customFormat="1">
      <c r="B136" s="90"/>
      <c r="C136" s="123" t="s">
        <v>123</v>
      </c>
      <c r="D136" s="94" t="s">
        <v>119</v>
      </c>
      <c r="E136" s="100">
        <v>2009</v>
      </c>
      <c r="F136" s="135">
        <v>0</v>
      </c>
      <c r="G136" s="135">
        <v>0</v>
      </c>
      <c r="H136" s="135">
        <v>0</v>
      </c>
      <c r="I136" s="135">
        <v>472.69470000000001</v>
      </c>
      <c r="J136" s="135">
        <v>305.6817999999999</v>
      </c>
      <c r="K136" s="135">
        <v>9796.5106999999771</v>
      </c>
      <c r="L136" s="135">
        <v>650.42679999999996</v>
      </c>
      <c r="M136" s="135">
        <v>2773.88</v>
      </c>
      <c r="N136" s="135">
        <v>664.90840000000003</v>
      </c>
      <c r="O136" s="135">
        <v>625.9292999999999</v>
      </c>
      <c r="P136" s="135">
        <v>15290.031699999972</v>
      </c>
      <c r="Q136" s="97">
        <f t="shared" si="7"/>
        <v>625.9292999999999</v>
      </c>
      <c r="R136" s="97">
        <f t="shared" si="8"/>
        <v>4089.2152000000006</v>
      </c>
      <c r="S136" s="97">
        <f t="shared" si="10"/>
        <v>10574.887199999977</v>
      </c>
      <c r="T136" s="98">
        <f t="shared" si="9"/>
        <v>29101.825799999977</v>
      </c>
    </row>
    <row r="137" spans="2:20" s="99" customFormat="1">
      <c r="B137" s="90"/>
      <c r="C137" s="123" t="s">
        <v>123</v>
      </c>
      <c r="D137" s="94" t="s">
        <v>119</v>
      </c>
      <c r="E137" s="100">
        <v>2010</v>
      </c>
      <c r="F137" s="135">
        <v>0</v>
      </c>
      <c r="G137" s="135">
        <v>0</v>
      </c>
      <c r="H137" s="135">
        <v>0</v>
      </c>
      <c r="I137" s="135">
        <v>357.21079999999995</v>
      </c>
      <c r="J137" s="135">
        <v>267.78929999999991</v>
      </c>
      <c r="K137" s="135">
        <v>9901.6815999999926</v>
      </c>
      <c r="L137" s="135">
        <v>586.34939999999995</v>
      </c>
      <c r="M137" s="135">
        <v>2875.3540999999991</v>
      </c>
      <c r="N137" s="135">
        <v>750.18060000000025</v>
      </c>
      <c r="O137" s="135">
        <v>684.77740000000017</v>
      </c>
      <c r="P137" s="135">
        <v>15423.343199999998</v>
      </c>
      <c r="Q137" s="97">
        <f t="shared" si="7"/>
        <v>684.77740000000017</v>
      </c>
      <c r="R137" s="97">
        <f t="shared" si="8"/>
        <v>4211.8840999999993</v>
      </c>
      <c r="S137" s="97">
        <f t="shared" si="10"/>
        <v>10526.681699999992</v>
      </c>
      <c r="T137" s="98">
        <f t="shared" si="9"/>
        <v>30010.107999999993</v>
      </c>
    </row>
    <row r="138" spans="2:20" s="99" customFormat="1">
      <c r="B138" s="90"/>
      <c r="C138" s="123" t="s">
        <v>123</v>
      </c>
      <c r="D138" s="94" t="s">
        <v>119</v>
      </c>
      <c r="E138" s="100">
        <v>2011</v>
      </c>
      <c r="F138" s="135">
        <v>0</v>
      </c>
      <c r="G138" s="135">
        <v>0</v>
      </c>
      <c r="H138" s="135">
        <v>0</v>
      </c>
      <c r="I138" s="135">
        <v>240.5994</v>
      </c>
      <c r="J138" s="135">
        <v>174.64850000000001</v>
      </c>
      <c r="K138" s="135">
        <v>8346.3323999999993</v>
      </c>
      <c r="L138" s="135">
        <v>468.01640000000009</v>
      </c>
      <c r="M138" s="135">
        <v>2815.5945000000002</v>
      </c>
      <c r="N138" s="135">
        <v>740.23799999999983</v>
      </c>
      <c r="O138" s="135">
        <v>701.24080000000004</v>
      </c>
      <c r="P138" s="135">
        <v>13486.67</v>
      </c>
      <c r="Q138" s="97">
        <f t="shared" si="7"/>
        <v>701.24080000000004</v>
      </c>
      <c r="R138" s="97">
        <f t="shared" si="8"/>
        <v>4023.8489</v>
      </c>
      <c r="S138" s="97">
        <f t="shared" si="10"/>
        <v>8761.5802999999996</v>
      </c>
      <c r="T138" s="98">
        <f t="shared" si="9"/>
        <v>27845.534999999996</v>
      </c>
    </row>
    <row r="139" spans="2:20" s="99" customFormat="1">
      <c r="B139" s="90"/>
      <c r="C139" s="533" t="s">
        <v>123</v>
      </c>
      <c r="D139" s="94" t="s">
        <v>119</v>
      </c>
      <c r="E139" s="100">
        <v>2012</v>
      </c>
      <c r="F139" s="135">
        <v>0</v>
      </c>
      <c r="G139" s="135">
        <v>0</v>
      </c>
      <c r="H139" s="135">
        <v>0</v>
      </c>
      <c r="I139" s="135">
        <v>213.63119999999998</v>
      </c>
      <c r="J139" s="135">
        <v>112.06730000000003</v>
      </c>
      <c r="K139" s="135">
        <v>8125.2215999999999</v>
      </c>
      <c r="L139" s="135">
        <v>450.18940000000003</v>
      </c>
      <c r="M139" s="135">
        <v>2735.9438999999998</v>
      </c>
      <c r="N139" s="135">
        <v>705.96860000000004</v>
      </c>
      <c r="O139" s="135">
        <v>744.18589999999995</v>
      </c>
      <c r="P139" s="135">
        <v>13087.207900000005</v>
      </c>
      <c r="Q139" s="97">
        <f t="shared" si="7"/>
        <v>744.18589999999995</v>
      </c>
      <c r="R139" s="97">
        <f t="shared" si="8"/>
        <v>3892.1019000000001</v>
      </c>
      <c r="S139" s="97">
        <f t="shared" si="10"/>
        <v>8450.9200999999994</v>
      </c>
      <c r="T139" s="98">
        <f t="shared" si="9"/>
        <v>27569.084800000001</v>
      </c>
    </row>
    <row r="140" spans="2:20" s="99" customFormat="1">
      <c r="C140" s="123" t="s">
        <v>123</v>
      </c>
      <c r="D140" s="534" t="s">
        <v>119</v>
      </c>
      <c r="E140" s="532">
        <v>2013</v>
      </c>
      <c r="F140" s="525">
        <v>0</v>
      </c>
      <c r="G140" s="525">
        <v>0</v>
      </c>
      <c r="H140" s="525">
        <v>0</v>
      </c>
      <c r="I140" s="525">
        <v>175.15440000000001</v>
      </c>
      <c r="J140" s="525">
        <v>43.549199999999999</v>
      </c>
      <c r="K140" s="525">
        <v>7418.7621999999983</v>
      </c>
      <c r="L140" s="525">
        <v>353.46350000000007</v>
      </c>
      <c r="M140" s="525">
        <v>2738.2195000000002</v>
      </c>
      <c r="N140" s="525">
        <v>630.90549999999985</v>
      </c>
      <c r="O140" s="525">
        <v>748.20500000000015</v>
      </c>
      <c r="P140" s="525">
        <v>12108.2593</v>
      </c>
      <c r="Q140" s="526">
        <f t="shared" si="7"/>
        <v>748.20500000000015</v>
      </c>
      <c r="R140" s="526">
        <f t="shared" si="8"/>
        <v>3722.5884999999998</v>
      </c>
      <c r="S140" s="526">
        <f t="shared" si="10"/>
        <v>7637.4657999999981</v>
      </c>
      <c r="T140" s="527">
        <f t="shared" si="9"/>
        <v>26287.281299999999</v>
      </c>
    </row>
    <row r="141" spans="2:20" hidden="1">
      <c r="B141" s="79"/>
      <c r="C141" s="124" t="s">
        <v>124</v>
      </c>
      <c r="D141" s="77" t="s">
        <v>179</v>
      </c>
      <c r="E141" s="87">
        <v>2005</v>
      </c>
      <c r="F141" s="132">
        <v>0</v>
      </c>
      <c r="G141" s="132">
        <v>0</v>
      </c>
      <c r="H141" s="132">
        <v>0</v>
      </c>
      <c r="I141" s="132">
        <v>9.8109999999999982</v>
      </c>
      <c r="J141" s="132">
        <v>164.875</v>
      </c>
      <c r="K141" s="132">
        <v>1184.9377999999999</v>
      </c>
      <c r="L141" s="132">
        <v>61.834200000000003</v>
      </c>
      <c r="M141" s="132">
        <v>70.302899999999994</v>
      </c>
      <c r="N141" s="132">
        <v>108.32050000000001</v>
      </c>
      <c r="O141" s="132">
        <v>89.945499999999996</v>
      </c>
      <c r="P141" s="132">
        <v>1690.0268999999998</v>
      </c>
      <c r="Q141" s="97">
        <f t="shared" si="7"/>
        <v>89.945499999999996</v>
      </c>
      <c r="R141" s="97">
        <f t="shared" si="8"/>
        <v>240.45760000000001</v>
      </c>
      <c r="S141" s="84">
        <f t="shared" si="10"/>
        <v>1359.6237999999998</v>
      </c>
      <c r="T141" s="64">
        <f t="shared" si="9"/>
        <v>2980.4515999999999</v>
      </c>
    </row>
    <row r="142" spans="2:20" hidden="1">
      <c r="B142" s="79"/>
      <c r="C142" s="124" t="s">
        <v>124</v>
      </c>
      <c r="D142" s="81" t="s">
        <v>180</v>
      </c>
      <c r="E142" s="87">
        <v>2006</v>
      </c>
      <c r="F142" s="132">
        <v>0</v>
      </c>
      <c r="G142" s="132">
        <v>0</v>
      </c>
      <c r="H142" s="132">
        <v>0</v>
      </c>
      <c r="I142" s="132">
        <v>10.501600000000002</v>
      </c>
      <c r="J142" s="132">
        <v>188.5</v>
      </c>
      <c r="K142" s="132">
        <v>1216.6877999999999</v>
      </c>
      <c r="L142" s="132">
        <v>66.917099999999991</v>
      </c>
      <c r="M142" s="132">
        <v>68.219300000000004</v>
      </c>
      <c r="N142" s="132">
        <v>107.90409999999999</v>
      </c>
      <c r="O142" s="132">
        <v>77.437300000000008</v>
      </c>
      <c r="P142" s="132">
        <v>1736.1672000000003</v>
      </c>
      <c r="Q142" s="97">
        <f t="shared" si="7"/>
        <v>77.437300000000008</v>
      </c>
      <c r="R142" s="97">
        <f t="shared" si="8"/>
        <v>243.04049999999995</v>
      </c>
      <c r="S142" s="84">
        <f t="shared" si="10"/>
        <v>1415.6894</v>
      </c>
      <c r="T142" s="64">
        <f t="shared" si="9"/>
        <v>2919.1839</v>
      </c>
    </row>
    <row r="143" spans="2:20" hidden="1">
      <c r="B143" s="79"/>
      <c r="C143" s="124" t="s">
        <v>124</v>
      </c>
      <c r="D143" s="81" t="s">
        <v>180</v>
      </c>
      <c r="E143" s="87">
        <v>2007</v>
      </c>
      <c r="F143" s="132">
        <v>0</v>
      </c>
      <c r="G143" s="132">
        <v>0</v>
      </c>
      <c r="H143" s="132">
        <v>0</v>
      </c>
      <c r="I143" s="132">
        <v>14.249000000000001</v>
      </c>
      <c r="J143" s="132">
        <v>157.625</v>
      </c>
      <c r="K143" s="132">
        <v>1194.1255999999998</v>
      </c>
      <c r="L143" s="132">
        <v>49.750299999999996</v>
      </c>
      <c r="M143" s="132">
        <v>88.556999999999974</v>
      </c>
      <c r="N143" s="132">
        <v>96.123799999999974</v>
      </c>
      <c r="O143" s="132">
        <v>77.000000000000014</v>
      </c>
      <c r="P143" s="132">
        <v>1677.4306999999997</v>
      </c>
      <c r="Q143" s="97">
        <f t="shared" si="7"/>
        <v>77.000000000000014</v>
      </c>
      <c r="R143" s="97">
        <f t="shared" si="8"/>
        <v>234.43109999999996</v>
      </c>
      <c r="S143" s="84">
        <f t="shared" si="10"/>
        <v>1365.9995999999999</v>
      </c>
      <c r="T143" s="64">
        <f t="shared" si="9"/>
        <v>2839.2928999999995</v>
      </c>
    </row>
    <row r="144" spans="2:20" hidden="1">
      <c r="B144" s="79"/>
      <c r="C144" s="124" t="s">
        <v>124</v>
      </c>
      <c r="D144" s="81" t="s">
        <v>180</v>
      </c>
      <c r="E144" s="87">
        <v>2008</v>
      </c>
      <c r="F144" s="132">
        <v>0</v>
      </c>
      <c r="G144" s="132">
        <v>0</v>
      </c>
      <c r="H144" s="132">
        <v>0</v>
      </c>
      <c r="I144" s="132">
        <v>11.937899999999999</v>
      </c>
      <c r="J144" s="132">
        <v>146.375</v>
      </c>
      <c r="K144" s="132">
        <v>1210.3962999999999</v>
      </c>
      <c r="L144" s="132">
        <v>56.792200000000001</v>
      </c>
      <c r="M144" s="132">
        <v>65.469600000000028</v>
      </c>
      <c r="N144" s="132">
        <v>87.887499999999989</v>
      </c>
      <c r="O144" s="132">
        <v>85.125299999999996</v>
      </c>
      <c r="P144" s="132">
        <v>1663.9838000000002</v>
      </c>
      <c r="Q144" s="97">
        <f t="shared" si="7"/>
        <v>85.125299999999996</v>
      </c>
      <c r="R144" s="97">
        <f t="shared" si="8"/>
        <v>210.14930000000001</v>
      </c>
      <c r="S144" s="84">
        <f t="shared" si="10"/>
        <v>1368.7091999999998</v>
      </c>
      <c r="T144" s="64">
        <f t="shared" si="9"/>
        <v>2850.4100999999996</v>
      </c>
    </row>
    <row r="145" spans="2:20" hidden="1">
      <c r="B145" s="79"/>
      <c r="C145" s="124" t="s">
        <v>124</v>
      </c>
      <c r="D145" s="81" t="s">
        <v>180</v>
      </c>
      <c r="E145" s="87">
        <v>2009</v>
      </c>
      <c r="F145" s="132">
        <v>0</v>
      </c>
      <c r="G145" s="132">
        <v>0</v>
      </c>
      <c r="H145" s="132">
        <v>0</v>
      </c>
      <c r="I145" s="132">
        <v>14.208400000000001</v>
      </c>
      <c r="J145" s="132">
        <v>155.625</v>
      </c>
      <c r="K145" s="132">
        <v>1236.2297999999998</v>
      </c>
      <c r="L145" s="132">
        <v>53.666899999999998</v>
      </c>
      <c r="M145" s="132">
        <v>98.057299999999998</v>
      </c>
      <c r="N145" s="132">
        <v>84.345700000000008</v>
      </c>
      <c r="O145" s="132">
        <v>98.791900000000027</v>
      </c>
      <c r="P145" s="132">
        <v>1740.9250000000004</v>
      </c>
      <c r="Q145" s="97">
        <f t="shared" si="7"/>
        <v>98.791900000000027</v>
      </c>
      <c r="R145" s="97">
        <f t="shared" si="8"/>
        <v>236.06990000000002</v>
      </c>
      <c r="S145" s="84">
        <f t="shared" si="10"/>
        <v>1406.0631999999998</v>
      </c>
      <c r="T145" s="64">
        <f t="shared" si="9"/>
        <v>3102.1919000000003</v>
      </c>
    </row>
    <row r="146" spans="2:20" hidden="1">
      <c r="B146" s="79"/>
      <c r="C146" s="124" t="s">
        <v>124</v>
      </c>
      <c r="D146" s="81" t="s">
        <v>180</v>
      </c>
      <c r="E146" s="87">
        <v>2010</v>
      </c>
      <c r="F146" s="132">
        <v>0</v>
      </c>
      <c r="G146" s="132">
        <v>0</v>
      </c>
      <c r="H146" s="132">
        <v>0</v>
      </c>
      <c r="I146" s="132">
        <v>20.979999999999997</v>
      </c>
      <c r="J146" s="132">
        <v>168.875</v>
      </c>
      <c r="K146" s="132">
        <v>1290.4172000000001</v>
      </c>
      <c r="L146" s="132">
        <v>35.833399999999997</v>
      </c>
      <c r="M146" s="132">
        <v>76.970799999999997</v>
      </c>
      <c r="N146" s="132">
        <v>90.009600000000006</v>
      </c>
      <c r="O146" s="132">
        <v>99.08329999999998</v>
      </c>
      <c r="P146" s="132">
        <v>1782.1693000000007</v>
      </c>
      <c r="Q146" s="97">
        <f t="shared" si="7"/>
        <v>99.08329999999998</v>
      </c>
      <c r="R146" s="97">
        <f t="shared" si="8"/>
        <v>202.81380000000001</v>
      </c>
      <c r="S146" s="84">
        <f t="shared" si="10"/>
        <v>1480.2722000000001</v>
      </c>
      <c r="T146" s="64">
        <f t="shared" si="9"/>
        <v>3079.5465999999997</v>
      </c>
    </row>
    <row r="147" spans="2:20" hidden="1">
      <c r="B147" s="79"/>
      <c r="C147" s="124" t="s">
        <v>124</v>
      </c>
      <c r="D147" s="81" t="s">
        <v>180</v>
      </c>
      <c r="E147" s="87">
        <v>2011</v>
      </c>
      <c r="F147" s="132">
        <v>4.2773999999999992</v>
      </c>
      <c r="G147" s="132">
        <v>499.12439999999992</v>
      </c>
      <c r="H147" s="132">
        <v>307.03440000000001</v>
      </c>
      <c r="I147" s="132">
        <v>61.774900000000002</v>
      </c>
      <c r="J147" s="132">
        <v>204.70949999999999</v>
      </c>
      <c r="K147" s="132">
        <v>1287.2294999999999</v>
      </c>
      <c r="L147" s="132">
        <v>28.541799999999999</v>
      </c>
      <c r="M147" s="132">
        <v>63.802099999999989</v>
      </c>
      <c r="N147" s="132">
        <v>90.597899999999996</v>
      </c>
      <c r="O147" s="132">
        <v>87.541199999999975</v>
      </c>
      <c r="P147" s="132">
        <v>2634.6330999999996</v>
      </c>
      <c r="Q147" s="97">
        <f t="shared" si="7"/>
        <v>87.541199999999975</v>
      </c>
      <c r="R147" s="97">
        <f t="shared" si="8"/>
        <v>182.9418</v>
      </c>
      <c r="S147" s="84">
        <f t="shared" si="10"/>
        <v>2364.1500999999998</v>
      </c>
      <c r="T147" s="64">
        <f t="shared" si="9"/>
        <v>3788.3874999999998</v>
      </c>
    </row>
    <row r="148" spans="2:20" hidden="1">
      <c r="B148" s="79"/>
      <c r="C148" s="124" t="s">
        <v>124</v>
      </c>
      <c r="D148" s="81" t="s">
        <v>180</v>
      </c>
      <c r="E148" s="82">
        <v>2012</v>
      </c>
      <c r="F148" s="133">
        <v>0.754</v>
      </c>
      <c r="G148" s="133">
        <v>765.37580000000014</v>
      </c>
      <c r="H148" s="133">
        <v>335.64690000000013</v>
      </c>
      <c r="I148" s="133">
        <v>64.080700000000007</v>
      </c>
      <c r="J148" s="133">
        <v>245.04859999999999</v>
      </c>
      <c r="K148" s="133">
        <v>1275.2294999999999</v>
      </c>
      <c r="L148" s="133">
        <v>20.708399999999997</v>
      </c>
      <c r="M148" s="133">
        <v>70.301700000000011</v>
      </c>
      <c r="N148" s="133">
        <v>85.114000000000019</v>
      </c>
      <c r="O148" s="133">
        <v>78.29140000000001</v>
      </c>
      <c r="P148" s="133">
        <v>2940.5509999999995</v>
      </c>
      <c r="Q148" s="97">
        <f t="shared" si="7"/>
        <v>78.29140000000001</v>
      </c>
      <c r="R148" s="97">
        <f t="shared" si="8"/>
        <v>176.12410000000003</v>
      </c>
      <c r="S148" s="84">
        <f t="shared" si="10"/>
        <v>2686.1355000000003</v>
      </c>
      <c r="T148" s="64">
        <f t="shared" si="9"/>
        <v>3997.4218000000005</v>
      </c>
    </row>
    <row r="149" spans="2:20" hidden="1">
      <c r="B149" s="79"/>
      <c r="C149" s="124" t="s">
        <v>124</v>
      </c>
      <c r="D149" s="77" t="s">
        <v>180</v>
      </c>
      <c r="E149" s="87">
        <v>2005</v>
      </c>
      <c r="F149" s="132">
        <v>0</v>
      </c>
      <c r="G149" s="132">
        <v>0</v>
      </c>
      <c r="H149" s="132">
        <v>0</v>
      </c>
      <c r="I149" s="132">
        <v>131.65220000000002</v>
      </c>
      <c r="J149" s="132">
        <v>82.75</v>
      </c>
      <c r="K149" s="132">
        <v>1250.8223999999998</v>
      </c>
      <c r="L149" s="132">
        <v>42.209099999999992</v>
      </c>
      <c r="M149" s="132">
        <v>61.006899999999987</v>
      </c>
      <c r="N149" s="132">
        <v>53.172199999999997</v>
      </c>
      <c r="O149" s="132">
        <v>25.888799999999996</v>
      </c>
      <c r="P149" s="132">
        <v>1647.5015999999998</v>
      </c>
      <c r="Q149" s="97">
        <f t="shared" si="7"/>
        <v>25.888799999999996</v>
      </c>
      <c r="R149" s="97">
        <f t="shared" si="8"/>
        <v>156.38819999999998</v>
      </c>
      <c r="S149" s="84">
        <f t="shared" si="10"/>
        <v>1465.2245999999998</v>
      </c>
      <c r="T149" s="64">
        <f t="shared" si="9"/>
        <v>2193.2771999999995</v>
      </c>
    </row>
    <row r="150" spans="2:20" hidden="1">
      <c r="B150" s="79"/>
      <c r="C150" s="124" t="s">
        <v>124</v>
      </c>
      <c r="D150" s="81" t="s">
        <v>179</v>
      </c>
      <c r="E150" s="87">
        <v>2006</v>
      </c>
      <c r="F150" s="132">
        <v>0</v>
      </c>
      <c r="G150" s="132">
        <v>0</v>
      </c>
      <c r="H150" s="132">
        <v>0</v>
      </c>
      <c r="I150" s="132">
        <v>62.181600000000003</v>
      </c>
      <c r="J150" s="132">
        <v>50.25</v>
      </c>
      <c r="K150" s="132">
        <v>969.64959999999996</v>
      </c>
      <c r="L150" s="132">
        <v>36.833399999999997</v>
      </c>
      <c r="M150" s="132">
        <v>71.496399999999994</v>
      </c>
      <c r="N150" s="132">
        <v>50.738599999999991</v>
      </c>
      <c r="O150" s="132">
        <v>52.589999999999996</v>
      </c>
      <c r="P150" s="132">
        <v>1293.7395999999999</v>
      </c>
      <c r="Q150" s="97">
        <f t="shared" ref="Q150:Q219" si="11">O150</f>
        <v>52.589999999999996</v>
      </c>
      <c r="R150" s="97">
        <f t="shared" ref="R150:R219" si="12">SUM(L150:N150)</f>
        <v>159.0684</v>
      </c>
      <c r="S150" s="84">
        <f t="shared" si="10"/>
        <v>1082.0812000000001</v>
      </c>
      <c r="T150" s="64">
        <f t="shared" si="9"/>
        <v>2085.1864</v>
      </c>
    </row>
    <row r="151" spans="2:20" hidden="1">
      <c r="B151" s="79"/>
      <c r="C151" s="124" t="s">
        <v>124</v>
      </c>
      <c r="D151" s="81" t="s">
        <v>179</v>
      </c>
      <c r="E151" s="87">
        <v>2007</v>
      </c>
      <c r="F151" s="132">
        <v>0</v>
      </c>
      <c r="G151" s="132">
        <v>0</v>
      </c>
      <c r="H151" s="132">
        <v>0</v>
      </c>
      <c r="I151" s="132">
        <v>53.374600000000001</v>
      </c>
      <c r="J151" s="132">
        <v>24.75</v>
      </c>
      <c r="K151" s="132">
        <v>584.68640000000005</v>
      </c>
      <c r="L151" s="132">
        <v>40.833799999999997</v>
      </c>
      <c r="M151" s="132">
        <v>87.590699999999998</v>
      </c>
      <c r="N151" s="132">
        <v>54.2971</v>
      </c>
      <c r="O151" s="132">
        <v>92.249799999999993</v>
      </c>
      <c r="P151" s="132">
        <v>937.78239999999994</v>
      </c>
      <c r="Q151" s="97">
        <f t="shared" si="11"/>
        <v>92.249799999999993</v>
      </c>
      <c r="R151" s="97">
        <f t="shared" si="12"/>
        <v>182.7216</v>
      </c>
      <c r="S151" s="84">
        <f t="shared" si="10"/>
        <v>662.81100000000004</v>
      </c>
      <c r="T151" s="64">
        <f t="shared" si="9"/>
        <v>2133.4738000000002</v>
      </c>
    </row>
    <row r="152" spans="2:20" hidden="1">
      <c r="B152" s="79"/>
      <c r="C152" s="124" t="s">
        <v>124</v>
      </c>
      <c r="D152" s="81" t="s">
        <v>179</v>
      </c>
      <c r="E152" s="87">
        <v>2008</v>
      </c>
      <c r="F152" s="132">
        <v>0</v>
      </c>
      <c r="G152" s="132">
        <v>0</v>
      </c>
      <c r="H152" s="132">
        <v>0</v>
      </c>
      <c r="I152" s="132">
        <v>71.438300000000012</v>
      </c>
      <c r="J152" s="132">
        <v>22.75</v>
      </c>
      <c r="K152" s="132">
        <v>379.04169999999999</v>
      </c>
      <c r="L152" s="132">
        <v>40.708500000000001</v>
      </c>
      <c r="M152" s="132">
        <v>63.761199999999995</v>
      </c>
      <c r="N152" s="132">
        <v>77.592799999999997</v>
      </c>
      <c r="O152" s="132">
        <v>126.50010000000002</v>
      </c>
      <c r="P152" s="132">
        <v>781.79259999999999</v>
      </c>
      <c r="Q152" s="97">
        <f t="shared" si="11"/>
        <v>126.50010000000002</v>
      </c>
      <c r="R152" s="97">
        <f t="shared" si="12"/>
        <v>182.0625</v>
      </c>
      <c r="S152" s="84">
        <f t="shared" si="10"/>
        <v>473.23</v>
      </c>
      <c r="T152" s="64">
        <f t="shared" si="9"/>
        <v>2284.4185000000002</v>
      </c>
    </row>
    <row r="153" spans="2:20" hidden="1">
      <c r="B153" s="79"/>
      <c r="C153" s="124" t="s">
        <v>124</v>
      </c>
      <c r="D153" s="81" t="s">
        <v>179</v>
      </c>
      <c r="E153" s="87">
        <v>2009</v>
      </c>
      <c r="F153" s="132">
        <v>0</v>
      </c>
      <c r="G153" s="132">
        <v>0</v>
      </c>
      <c r="H153" s="132">
        <v>0</v>
      </c>
      <c r="I153" s="132">
        <v>80.336799999999982</v>
      </c>
      <c r="J153" s="132">
        <v>24.125</v>
      </c>
      <c r="K153" s="132">
        <v>310.87509999999997</v>
      </c>
      <c r="L153" s="132">
        <v>56.875</v>
      </c>
      <c r="M153" s="132">
        <v>73.596699999999984</v>
      </c>
      <c r="N153" s="132">
        <v>57.714299999999987</v>
      </c>
      <c r="O153" s="132">
        <v>144.75</v>
      </c>
      <c r="P153" s="132">
        <v>748.27290000000005</v>
      </c>
      <c r="Q153" s="97">
        <f t="shared" si="11"/>
        <v>144.75</v>
      </c>
      <c r="R153" s="97">
        <f t="shared" si="12"/>
        <v>188.18599999999998</v>
      </c>
      <c r="S153" s="84">
        <f t="shared" si="10"/>
        <v>415.33689999999996</v>
      </c>
      <c r="T153" s="64">
        <f t="shared" si="9"/>
        <v>2427.3948999999998</v>
      </c>
    </row>
    <row r="154" spans="2:20" hidden="1">
      <c r="B154" s="79"/>
      <c r="C154" s="124" t="s">
        <v>124</v>
      </c>
      <c r="D154" s="81" t="s">
        <v>179</v>
      </c>
      <c r="E154" s="87">
        <v>2010</v>
      </c>
      <c r="F154" s="132">
        <v>0</v>
      </c>
      <c r="G154" s="132">
        <v>0</v>
      </c>
      <c r="H154" s="132">
        <v>0</v>
      </c>
      <c r="I154" s="132">
        <v>101.0838</v>
      </c>
      <c r="J154" s="132">
        <v>13.75</v>
      </c>
      <c r="K154" s="132">
        <v>314.00009999999997</v>
      </c>
      <c r="L154" s="132">
        <v>56.083399999999997</v>
      </c>
      <c r="M154" s="132">
        <v>44.549199999999999</v>
      </c>
      <c r="N154" s="132">
        <v>56.172499999999992</v>
      </c>
      <c r="O154" s="132">
        <v>145.45849999999999</v>
      </c>
      <c r="P154" s="132">
        <v>731.0975000000002</v>
      </c>
      <c r="Q154" s="97">
        <f t="shared" si="11"/>
        <v>145.45849999999999</v>
      </c>
      <c r="R154" s="97">
        <f t="shared" si="12"/>
        <v>156.80509999999998</v>
      </c>
      <c r="S154" s="84">
        <f t="shared" si="10"/>
        <v>428.83389999999997</v>
      </c>
      <c r="T154" s="64">
        <f t="shared" si="9"/>
        <v>2353.8341999999998</v>
      </c>
    </row>
    <row r="155" spans="2:20" hidden="1">
      <c r="B155" s="79"/>
      <c r="C155" s="124" t="s">
        <v>124</v>
      </c>
      <c r="D155" s="81" t="s">
        <v>179</v>
      </c>
      <c r="E155" s="87">
        <v>2011</v>
      </c>
      <c r="F155" s="132">
        <v>0</v>
      </c>
      <c r="G155" s="132">
        <v>0</v>
      </c>
      <c r="H155" s="132">
        <v>0.33789999999999998</v>
      </c>
      <c r="I155" s="132">
        <v>88.989500000000021</v>
      </c>
      <c r="J155" s="132">
        <v>16.875</v>
      </c>
      <c r="K155" s="132">
        <v>304.375</v>
      </c>
      <c r="L155" s="132">
        <v>26</v>
      </c>
      <c r="M155" s="132">
        <v>41.839499999999994</v>
      </c>
      <c r="N155" s="132">
        <v>54.672999999999995</v>
      </c>
      <c r="O155" s="132">
        <v>133.3749</v>
      </c>
      <c r="P155" s="132">
        <v>666.46480000000008</v>
      </c>
      <c r="Q155" s="97">
        <f t="shared" si="11"/>
        <v>133.3749</v>
      </c>
      <c r="R155" s="97">
        <f t="shared" si="12"/>
        <v>122.51249999999999</v>
      </c>
      <c r="S155" s="84">
        <f t="shared" si="10"/>
        <v>410.57740000000001</v>
      </c>
      <c r="T155" s="64">
        <f t="shared" si="9"/>
        <v>2111.8638999999998</v>
      </c>
    </row>
    <row r="156" spans="2:20" hidden="1">
      <c r="B156" s="79"/>
      <c r="C156" s="124" t="s">
        <v>124</v>
      </c>
      <c r="D156" s="81" t="s">
        <v>179</v>
      </c>
      <c r="E156" s="82">
        <v>2012</v>
      </c>
      <c r="F156" s="133">
        <v>0</v>
      </c>
      <c r="G156" s="133">
        <v>0</v>
      </c>
      <c r="H156" s="133">
        <v>0</v>
      </c>
      <c r="I156" s="133">
        <v>78.546700000000001</v>
      </c>
      <c r="J156" s="133">
        <v>16.375</v>
      </c>
      <c r="K156" s="133">
        <v>313.91680000000002</v>
      </c>
      <c r="L156" s="133">
        <v>14.125</v>
      </c>
      <c r="M156" s="133">
        <v>40.677599999999998</v>
      </c>
      <c r="N156" s="133">
        <v>43.754899999999999</v>
      </c>
      <c r="O156" s="133">
        <v>113.66689999999998</v>
      </c>
      <c r="P156" s="133">
        <v>621.06290000000013</v>
      </c>
      <c r="Q156" s="97">
        <f t="shared" si="11"/>
        <v>113.66689999999998</v>
      </c>
      <c r="R156" s="97">
        <f t="shared" si="12"/>
        <v>98.557500000000005</v>
      </c>
      <c r="S156" s="84">
        <f t="shared" si="10"/>
        <v>408.83850000000001</v>
      </c>
      <c r="T156" s="64">
        <f t="shared" si="9"/>
        <v>1841.18</v>
      </c>
    </row>
    <row r="157" spans="2:20" hidden="1">
      <c r="B157" s="79"/>
      <c r="C157" s="124" t="s">
        <v>124</v>
      </c>
      <c r="D157" s="77" t="s">
        <v>119</v>
      </c>
      <c r="E157" s="87">
        <v>2005</v>
      </c>
      <c r="F157" s="132">
        <v>0</v>
      </c>
      <c r="G157" s="132">
        <v>0</v>
      </c>
      <c r="H157" s="132">
        <v>0</v>
      </c>
      <c r="I157" s="132">
        <v>141.46320000000003</v>
      </c>
      <c r="J157" s="132">
        <v>247.625</v>
      </c>
      <c r="K157" s="132">
        <v>2435.7601999999997</v>
      </c>
      <c r="L157" s="132">
        <v>104.04329999999999</v>
      </c>
      <c r="M157" s="132">
        <v>131.3098</v>
      </c>
      <c r="N157" s="132">
        <v>161.49270000000001</v>
      </c>
      <c r="O157" s="132">
        <v>115.83429999999998</v>
      </c>
      <c r="P157" s="132">
        <v>3337.5284999999994</v>
      </c>
      <c r="Q157" s="97">
        <f t="shared" si="11"/>
        <v>115.83429999999998</v>
      </c>
      <c r="R157" s="97">
        <f t="shared" si="12"/>
        <v>396.8458</v>
      </c>
      <c r="S157" s="84">
        <f t="shared" si="10"/>
        <v>2824.8483999999999</v>
      </c>
      <c r="T157" s="64">
        <f t="shared" si="9"/>
        <v>5173.7287999999999</v>
      </c>
    </row>
    <row r="158" spans="2:20" hidden="1">
      <c r="B158" s="79"/>
      <c r="C158" s="124" t="s">
        <v>124</v>
      </c>
      <c r="D158" s="81" t="s">
        <v>119</v>
      </c>
      <c r="E158" s="87">
        <v>2006</v>
      </c>
      <c r="F158" s="132">
        <v>0</v>
      </c>
      <c r="G158" s="132">
        <v>0</v>
      </c>
      <c r="H158" s="132">
        <v>0</v>
      </c>
      <c r="I158" s="132">
        <v>72.683199999999999</v>
      </c>
      <c r="J158" s="132">
        <v>238.75</v>
      </c>
      <c r="K158" s="132">
        <v>2186.3373999999999</v>
      </c>
      <c r="L158" s="132">
        <v>103.75049999999999</v>
      </c>
      <c r="M158" s="132">
        <v>139.7157</v>
      </c>
      <c r="N158" s="132">
        <v>158.64269999999999</v>
      </c>
      <c r="O158" s="132">
        <v>130.0273</v>
      </c>
      <c r="P158" s="132">
        <v>3029.9068000000002</v>
      </c>
      <c r="Q158" s="97">
        <f t="shared" si="11"/>
        <v>130.0273</v>
      </c>
      <c r="R158" s="97">
        <f t="shared" si="12"/>
        <v>402.10889999999995</v>
      </c>
      <c r="S158" s="84">
        <f t="shared" si="10"/>
        <v>2497.7705999999998</v>
      </c>
      <c r="T158" s="64">
        <f t="shared" si="9"/>
        <v>5004.3702999999996</v>
      </c>
    </row>
    <row r="159" spans="2:20" hidden="1">
      <c r="B159" s="79"/>
      <c r="C159" s="124" t="s">
        <v>124</v>
      </c>
      <c r="D159" s="81" t="s">
        <v>119</v>
      </c>
      <c r="E159" s="87">
        <v>2007</v>
      </c>
      <c r="F159" s="132">
        <v>0</v>
      </c>
      <c r="G159" s="132">
        <v>0</v>
      </c>
      <c r="H159" s="132">
        <v>0</v>
      </c>
      <c r="I159" s="132">
        <v>67.623599999999996</v>
      </c>
      <c r="J159" s="132">
        <v>182.375</v>
      </c>
      <c r="K159" s="132">
        <v>1778.8119999999999</v>
      </c>
      <c r="L159" s="132">
        <v>90.584099999999992</v>
      </c>
      <c r="M159" s="132">
        <v>176.14769999999999</v>
      </c>
      <c r="N159" s="132">
        <v>150.42089999999996</v>
      </c>
      <c r="O159" s="132">
        <v>169.24979999999999</v>
      </c>
      <c r="P159" s="132">
        <v>2615.2130999999995</v>
      </c>
      <c r="Q159" s="97">
        <f t="shared" si="11"/>
        <v>169.24979999999999</v>
      </c>
      <c r="R159" s="97">
        <f t="shared" si="12"/>
        <v>417.15269999999992</v>
      </c>
      <c r="S159" s="84">
        <f t="shared" si="10"/>
        <v>2028.8105999999998</v>
      </c>
      <c r="T159" s="64">
        <f t="shared" si="9"/>
        <v>4972.7667000000001</v>
      </c>
    </row>
    <row r="160" spans="2:20">
      <c r="B160" s="79"/>
      <c r="C160" s="127" t="s">
        <v>124</v>
      </c>
      <c r="D160" s="128" t="s">
        <v>119</v>
      </c>
      <c r="E160" s="107">
        <v>2006</v>
      </c>
      <c r="F160" s="134">
        <v>0</v>
      </c>
      <c r="G160" s="134">
        <v>0</v>
      </c>
      <c r="H160" s="134">
        <v>0</v>
      </c>
      <c r="I160" s="134">
        <v>72.683199999999999</v>
      </c>
      <c r="J160" s="134">
        <v>238.75</v>
      </c>
      <c r="K160" s="134">
        <v>2186.3374000000003</v>
      </c>
      <c r="L160" s="134">
        <v>103.75050000000002</v>
      </c>
      <c r="M160" s="134">
        <v>139.7157</v>
      </c>
      <c r="N160" s="134">
        <v>158.64269999999996</v>
      </c>
      <c r="O160" s="134">
        <v>130.0273</v>
      </c>
      <c r="P160" s="134">
        <v>3029.9068000000007</v>
      </c>
      <c r="Q160" s="130">
        <f t="shared" si="11"/>
        <v>130.0273</v>
      </c>
      <c r="R160" s="130">
        <f t="shared" si="12"/>
        <v>402.10889999999995</v>
      </c>
      <c r="S160" s="130">
        <f t="shared" si="10"/>
        <v>2497.7706000000003</v>
      </c>
      <c r="T160" s="131">
        <f t="shared" si="9"/>
        <v>5004.3703000000005</v>
      </c>
    </row>
    <row r="161" spans="2:20">
      <c r="B161" s="79"/>
      <c r="C161" s="127" t="s">
        <v>124</v>
      </c>
      <c r="D161" s="128" t="s">
        <v>119</v>
      </c>
      <c r="E161" s="107">
        <v>2007</v>
      </c>
      <c r="F161" s="134">
        <v>0</v>
      </c>
      <c r="G161" s="134">
        <v>0</v>
      </c>
      <c r="H161" s="134">
        <v>0</v>
      </c>
      <c r="I161" s="134">
        <v>67.623599999999982</v>
      </c>
      <c r="J161" s="134">
        <v>182.375</v>
      </c>
      <c r="K161" s="134">
        <v>1778.8119999999997</v>
      </c>
      <c r="L161" s="134">
        <v>90.584100000000007</v>
      </c>
      <c r="M161" s="134">
        <v>176.14769999999996</v>
      </c>
      <c r="N161" s="134">
        <v>150.42089999999996</v>
      </c>
      <c r="O161" s="134">
        <v>169.24980000000002</v>
      </c>
      <c r="P161" s="134">
        <v>2615.2130999999999</v>
      </c>
      <c r="Q161" s="130">
        <f t="shared" si="11"/>
        <v>169.24980000000002</v>
      </c>
      <c r="R161" s="130">
        <f t="shared" si="12"/>
        <v>417.15269999999992</v>
      </c>
      <c r="S161" s="130">
        <f t="shared" si="10"/>
        <v>2028.8105999999996</v>
      </c>
      <c r="T161" s="131">
        <f t="shared" si="9"/>
        <v>4972.7667000000001</v>
      </c>
    </row>
    <row r="162" spans="2:20" s="125" customFormat="1">
      <c r="B162" s="126"/>
      <c r="C162" s="127" t="s">
        <v>124</v>
      </c>
      <c r="D162" s="128" t="s">
        <v>119</v>
      </c>
      <c r="E162" s="129">
        <v>2008</v>
      </c>
      <c r="F162" s="134">
        <v>0</v>
      </c>
      <c r="G162" s="134">
        <v>0</v>
      </c>
      <c r="H162" s="134">
        <v>0</v>
      </c>
      <c r="I162" s="134">
        <v>83.376200000000011</v>
      </c>
      <c r="J162" s="134">
        <v>169.125</v>
      </c>
      <c r="K162" s="134">
        <v>1589.4379999999999</v>
      </c>
      <c r="L162" s="134">
        <v>97.500699999999995</v>
      </c>
      <c r="M162" s="134">
        <v>129.23080000000002</v>
      </c>
      <c r="N162" s="134">
        <v>165.4803</v>
      </c>
      <c r="O162" s="134">
        <v>211.62540000000001</v>
      </c>
      <c r="P162" s="134">
        <v>2445.7764000000002</v>
      </c>
      <c r="Q162" s="130">
        <f t="shared" si="11"/>
        <v>211.62540000000001</v>
      </c>
      <c r="R162" s="130">
        <f t="shared" si="12"/>
        <v>392.21180000000004</v>
      </c>
      <c r="S162" s="130">
        <f t="shared" si="10"/>
        <v>1841.9391999999998</v>
      </c>
      <c r="T162" s="131">
        <f t="shared" si="9"/>
        <v>5134.8285999999998</v>
      </c>
    </row>
    <row r="163" spans="2:20" s="125" customFormat="1">
      <c r="B163" s="126"/>
      <c r="C163" s="127" t="s">
        <v>124</v>
      </c>
      <c r="D163" s="128" t="s">
        <v>119</v>
      </c>
      <c r="E163" s="129">
        <v>2009</v>
      </c>
      <c r="F163" s="134">
        <v>0</v>
      </c>
      <c r="G163" s="134">
        <v>0</v>
      </c>
      <c r="H163" s="134">
        <v>0</v>
      </c>
      <c r="I163" s="134">
        <v>94.54519999999998</v>
      </c>
      <c r="J163" s="134">
        <v>179.75</v>
      </c>
      <c r="K163" s="134">
        <v>1547.1048999999998</v>
      </c>
      <c r="L163" s="134">
        <v>110.5419</v>
      </c>
      <c r="M163" s="134">
        <v>171.654</v>
      </c>
      <c r="N163" s="134">
        <v>142.06</v>
      </c>
      <c r="O163" s="134">
        <v>243.54190000000003</v>
      </c>
      <c r="P163" s="134">
        <v>2489.1979000000006</v>
      </c>
      <c r="Q163" s="130">
        <f t="shared" si="11"/>
        <v>243.54190000000003</v>
      </c>
      <c r="R163" s="130">
        <f t="shared" si="12"/>
        <v>424.2559</v>
      </c>
      <c r="S163" s="130">
        <f t="shared" si="10"/>
        <v>1821.4000999999998</v>
      </c>
      <c r="T163" s="131">
        <f t="shared" si="9"/>
        <v>5529.5868</v>
      </c>
    </row>
    <row r="164" spans="2:20" s="125" customFormat="1">
      <c r="B164" s="126"/>
      <c r="C164" s="127" t="s">
        <v>124</v>
      </c>
      <c r="D164" s="128" t="s">
        <v>119</v>
      </c>
      <c r="E164" s="129">
        <v>2010</v>
      </c>
      <c r="F164" s="134">
        <v>0</v>
      </c>
      <c r="G164" s="134">
        <v>0</v>
      </c>
      <c r="H164" s="134">
        <v>0</v>
      </c>
      <c r="I164" s="134">
        <v>122.06379999999999</v>
      </c>
      <c r="J164" s="134">
        <v>182.625</v>
      </c>
      <c r="K164" s="134">
        <v>1604.4173000000001</v>
      </c>
      <c r="L164" s="134">
        <v>91.916799999999995</v>
      </c>
      <c r="M164" s="134">
        <v>121.52</v>
      </c>
      <c r="N164" s="134">
        <v>146.18209999999999</v>
      </c>
      <c r="O164" s="134">
        <v>244.54179999999997</v>
      </c>
      <c r="P164" s="134">
        <v>2513.2668000000008</v>
      </c>
      <c r="Q164" s="130">
        <f t="shared" si="11"/>
        <v>244.54179999999997</v>
      </c>
      <c r="R164" s="130">
        <f t="shared" si="12"/>
        <v>359.6189</v>
      </c>
      <c r="S164" s="130">
        <f t="shared" si="10"/>
        <v>1909.1061</v>
      </c>
      <c r="T164" s="131">
        <f t="shared" si="9"/>
        <v>5433.3807999999999</v>
      </c>
    </row>
    <row r="165" spans="2:20" s="125" customFormat="1">
      <c r="B165" s="126"/>
      <c r="C165" s="127" t="s">
        <v>124</v>
      </c>
      <c r="D165" s="128" t="s">
        <v>119</v>
      </c>
      <c r="E165" s="129">
        <v>2011</v>
      </c>
      <c r="F165" s="134">
        <v>4.2773999999999992</v>
      </c>
      <c r="G165" s="134">
        <v>499.12439999999992</v>
      </c>
      <c r="H165" s="134">
        <v>307.3723</v>
      </c>
      <c r="I165" s="134">
        <v>150.76440000000002</v>
      </c>
      <c r="J165" s="134">
        <v>221.58449999999999</v>
      </c>
      <c r="K165" s="134">
        <v>1591.6044999999999</v>
      </c>
      <c r="L165" s="134">
        <v>54.541799999999995</v>
      </c>
      <c r="M165" s="134">
        <v>105.64159999999998</v>
      </c>
      <c r="N165" s="134">
        <v>145.27089999999998</v>
      </c>
      <c r="O165" s="134">
        <v>220.91609999999997</v>
      </c>
      <c r="P165" s="134">
        <v>3301.0978999999998</v>
      </c>
      <c r="Q165" s="130">
        <f t="shared" si="11"/>
        <v>220.91609999999997</v>
      </c>
      <c r="R165" s="130">
        <f t="shared" si="12"/>
        <v>305.45429999999999</v>
      </c>
      <c r="S165" s="130">
        <f t="shared" si="10"/>
        <v>2774.7275</v>
      </c>
      <c r="T165" s="131">
        <f t="shared" si="9"/>
        <v>5900.2513999999992</v>
      </c>
    </row>
    <row r="166" spans="2:20" s="125" customFormat="1">
      <c r="B166" s="126"/>
      <c r="C166" s="535" t="s">
        <v>124</v>
      </c>
      <c r="D166" s="128" t="s">
        <v>119</v>
      </c>
      <c r="E166" s="129">
        <v>2012</v>
      </c>
      <c r="F166" s="134">
        <v>0.754</v>
      </c>
      <c r="G166" s="134">
        <v>765.37580000000014</v>
      </c>
      <c r="H166" s="134">
        <v>335.64690000000013</v>
      </c>
      <c r="I166" s="134">
        <v>142.62740000000002</v>
      </c>
      <c r="J166" s="134">
        <v>261.42359999999996</v>
      </c>
      <c r="K166" s="134">
        <v>1589.1462999999999</v>
      </c>
      <c r="L166" s="134">
        <v>34.833399999999997</v>
      </c>
      <c r="M166" s="134">
        <v>110.97930000000001</v>
      </c>
      <c r="N166" s="134">
        <v>128.86890000000002</v>
      </c>
      <c r="O166" s="134">
        <v>191.95830000000001</v>
      </c>
      <c r="P166" s="134">
        <v>3561.6138999999994</v>
      </c>
      <c r="Q166" s="130">
        <f t="shared" si="11"/>
        <v>191.95830000000001</v>
      </c>
      <c r="R166" s="130">
        <f t="shared" si="12"/>
        <v>274.6816</v>
      </c>
      <c r="S166" s="130">
        <f t="shared" si="10"/>
        <v>3094.9740000000002</v>
      </c>
      <c r="T166" s="131">
        <f t="shared" si="9"/>
        <v>5838.6018000000004</v>
      </c>
    </row>
    <row r="167" spans="2:20" s="125" customFormat="1">
      <c r="C167" s="127" t="s">
        <v>124</v>
      </c>
      <c r="D167" s="536" t="s">
        <v>119</v>
      </c>
      <c r="E167" s="528">
        <v>2013</v>
      </c>
      <c r="F167" s="529">
        <v>3.6497000000000002</v>
      </c>
      <c r="G167" s="529">
        <v>473.17210000000011</v>
      </c>
      <c r="H167" s="529">
        <v>341.6515</v>
      </c>
      <c r="I167" s="529">
        <v>131.20089999999999</v>
      </c>
      <c r="J167" s="529">
        <v>202.46800000000005</v>
      </c>
      <c r="K167" s="529">
        <v>1610.1507999999997</v>
      </c>
      <c r="L167" s="529">
        <v>50.75010000000001</v>
      </c>
      <c r="M167" s="529">
        <v>123.5103</v>
      </c>
      <c r="N167" s="529">
        <v>123.98399999999997</v>
      </c>
      <c r="O167" s="529">
        <v>177.94900000000001</v>
      </c>
      <c r="P167" s="529">
        <v>3238.4863999999998</v>
      </c>
      <c r="Q167" s="530">
        <f t="shared" si="11"/>
        <v>177.94900000000001</v>
      </c>
      <c r="R167" s="530">
        <f t="shared" si="12"/>
        <v>298.24439999999998</v>
      </c>
      <c r="S167" s="530">
        <f t="shared" si="10"/>
        <v>2762.2929999999997</v>
      </c>
      <c r="T167" s="531">
        <f t="shared" si="9"/>
        <v>5436.5162</v>
      </c>
    </row>
    <row r="168" spans="2:20" hidden="1">
      <c r="B168" s="79"/>
      <c r="C168" s="124" t="s">
        <v>125</v>
      </c>
      <c r="D168" s="77" t="s">
        <v>179</v>
      </c>
      <c r="E168" s="87">
        <v>2005</v>
      </c>
      <c r="F168" s="132">
        <v>0</v>
      </c>
      <c r="G168" s="132">
        <v>0</v>
      </c>
      <c r="H168" s="132">
        <v>0</v>
      </c>
      <c r="I168" s="132">
        <v>73.659800000000004</v>
      </c>
      <c r="J168" s="132">
        <v>112.33729999999998</v>
      </c>
      <c r="K168" s="132">
        <v>12319.279600000018</v>
      </c>
      <c r="L168" s="132">
        <v>294.46379999999999</v>
      </c>
      <c r="M168" s="132">
        <v>1423.4247999999998</v>
      </c>
      <c r="N168" s="132">
        <v>691.30619999999999</v>
      </c>
      <c r="O168" s="132">
        <v>546.2749</v>
      </c>
      <c r="P168" s="132">
        <v>15460.746399999991</v>
      </c>
      <c r="Q168" s="97">
        <f t="shared" si="11"/>
        <v>546.2749</v>
      </c>
      <c r="R168" s="97">
        <f t="shared" si="12"/>
        <v>2409.1947999999998</v>
      </c>
      <c r="S168" s="84">
        <f t="shared" si="10"/>
        <v>12505.276700000019</v>
      </c>
      <c r="T168" s="64">
        <f t="shared" ref="T168:T221" si="13">(10*Q168)+(3*R168)+S168</f>
        <v>25195.61010000002</v>
      </c>
    </row>
    <row r="169" spans="2:20" hidden="1">
      <c r="B169" s="79"/>
      <c r="C169" s="124" t="s">
        <v>125</v>
      </c>
      <c r="D169" s="81" t="s">
        <v>180</v>
      </c>
      <c r="E169" s="87">
        <v>2006</v>
      </c>
      <c r="F169" s="132">
        <v>0</v>
      </c>
      <c r="G169" s="132">
        <v>0</v>
      </c>
      <c r="H169" s="132">
        <v>0</v>
      </c>
      <c r="I169" s="132">
        <v>114.95580000000001</v>
      </c>
      <c r="J169" s="132">
        <v>104.29049999999999</v>
      </c>
      <c r="K169" s="132">
        <v>12265.968400000034</v>
      </c>
      <c r="L169" s="132">
        <v>214.66359999999997</v>
      </c>
      <c r="M169" s="132">
        <v>1411.4144999999994</v>
      </c>
      <c r="N169" s="132">
        <v>660.83159999999998</v>
      </c>
      <c r="O169" s="132">
        <v>567.57500000000005</v>
      </c>
      <c r="P169" s="132">
        <v>15339.699400000049</v>
      </c>
      <c r="Q169" s="97">
        <f t="shared" si="11"/>
        <v>567.57500000000005</v>
      </c>
      <c r="R169" s="97">
        <f t="shared" si="12"/>
        <v>2286.9096999999992</v>
      </c>
      <c r="S169" s="84">
        <f t="shared" si="10"/>
        <v>12485.214700000035</v>
      </c>
      <c r="T169" s="64">
        <f t="shared" si="13"/>
        <v>25021.69380000003</v>
      </c>
    </row>
    <row r="170" spans="2:20" hidden="1">
      <c r="B170" s="79"/>
      <c r="C170" s="124" t="s">
        <v>125</v>
      </c>
      <c r="D170" s="81" t="s">
        <v>180</v>
      </c>
      <c r="E170" s="87">
        <v>2007</v>
      </c>
      <c r="F170" s="132">
        <v>0</v>
      </c>
      <c r="G170" s="132">
        <v>0</v>
      </c>
      <c r="H170" s="132">
        <v>0</v>
      </c>
      <c r="I170" s="132">
        <v>122.61690000000004</v>
      </c>
      <c r="J170" s="132">
        <v>156.27459999999999</v>
      </c>
      <c r="K170" s="132">
        <v>12878.800200000029</v>
      </c>
      <c r="L170" s="132">
        <v>292.45009999999991</v>
      </c>
      <c r="M170" s="132">
        <v>1459.6023999999998</v>
      </c>
      <c r="N170" s="132">
        <v>640.70920000000035</v>
      </c>
      <c r="O170" s="132">
        <v>619.50379999999996</v>
      </c>
      <c r="P170" s="132">
        <v>16169.957200000024</v>
      </c>
      <c r="Q170" s="97">
        <f t="shared" si="11"/>
        <v>619.50379999999996</v>
      </c>
      <c r="R170" s="97">
        <f t="shared" si="12"/>
        <v>2392.7617</v>
      </c>
      <c r="S170" s="84">
        <f t="shared" si="10"/>
        <v>13157.691700000029</v>
      </c>
      <c r="T170" s="64">
        <f t="shared" si="13"/>
        <v>26531.014800000026</v>
      </c>
    </row>
    <row r="171" spans="2:20" hidden="1">
      <c r="B171" s="79"/>
      <c r="C171" s="124" t="s">
        <v>125</v>
      </c>
      <c r="D171" s="81" t="s">
        <v>180</v>
      </c>
      <c r="E171" s="87">
        <v>2008</v>
      </c>
      <c r="F171" s="132">
        <v>0</v>
      </c>
      <c r="G171" s="132">
        <v>0</v>
      </c>
      <c r="H171" s="132">
        <v>0</v>
      </c>
      <c r="I171" s="132">
        <v>126.03690000000002</v>
      </c>
      <c r="J171" s="132">
        <v>53.8964</v>
      </c>
      <c r="K171" s="132">
        <v>13231.261800000028</v>
      </c>
      <c r="L171" s="132">
        <v>273.9341</v>
      </c>
      <c r="M171" s="132">
        <v>1438.0238999999999</v>
      </c>
      <c r="N171" s="132">
        <v>667.67660000000001</v>
      </c>
      <c r="O171" s="132">
        <v>619.17490000000009</v>
      </c>
      <c r="P171" s="132">
        <v>16410.004600000015</v>
      </c>
      <c r="Q171" s="97">
        <f t="shared" si="11"/>
        <v>619.17490000000009</v>
      </c>
      <c r="R171" s="97">
        <f t="shared" si="12"/>
        <v>2379.6345999999999</v>
      </c>
      <c r="S171" s="84">
        <f t="shared" si="10"/>
        <v>13411.195100000028</v>
      </c>
      <c r="T171" s="64">
        <f t="shared" si="13"/>
        <v>26741.84790000003</v>
      </c>
    </row>
    <row r="172" spans="2:20" hidden="1">
      <c r="B172" s="79"/>
      <c r="C172" s="124" t="s">
        <v>125</v>
      </c>
      <c r="D172" s="81" t="s">
        <v>180</v>
      </c>
      <c r="E172" s="87">
        <v>2009</v>
      </c>
      <c r="F172" s="132">
        <v>0</v>
      </c>
      <c r="G172" s="132">
        <v>0</v>
      </c>
      <c r="H172" s="132">
        <v>0</v>
      </c>
      <c r="I172" s="132">
        <v>109.8</v>
      </c>
      <c r="J172" s="132">
        <v>58.830499999999994</v>
      </c>
      <c r="K172" s="132">
        <v>13820.552299999994</v>
      </c>
      <c r="L172" s="132">
        <v>269.63340000000011</v>
      </c>
      <c r="M172" s="132">
        <v>1443.7911999999997</v>
      </c>
      <c r="N172" s="132">
        <v>668.23219999999992</v>
      </c>
      <c r="O172" s="132">
        <v>664.2</v>
      </c>
      <c r="P172" s="132">
        <v>17035.039600000033</v>
      </c>
      <c r="Q172" s="97">
        <f t="shared" si="11"/>
        <v>664.2</v>
      </c>
      <c r="R172" s="97">
        <f t="shared" si="12"/>
        <v>2381.6567999999997</v>
      </c>
      <c r="S172" s="84">
        <f t="shared" si="10"/>
        <v>13989.182799999993</v>
      </c>
      <c r="T172" s="64">
        <f t="shared" si="13"/>
        <v>27776.153199999993</v>
      </c>
    </row>
    <row r="173" spans="2:20" hidden="1">
      <c r="B173" s="79"/>
      <c r="C173" s="124" t="s">
        <v>125</v>
      </c>
      <c r="D173" s="81" t="s">
        <v>180</v>
      </c>
      <c r="E173" s="87">
        <v>2010</v>
      </c>
      <c r="F173" s="132">
        <v>0</v>
      </c>
      <c r="G173" s="132">
        <v>0</v>
      </c>
      <c r="H173" s="132">
        <v>0</v>
      </c>
      <c r="I173" s="132">
        <v>110.39999999999999</v>
      </c>
      <c r="J173" s="132">
        <v>47.539499999999997</v>
      </c>
      <c r="K173" s="132">
        <v>14158.644800000027</v>
      </c>
      <c r="L173" s="132">
        <v>351.5542999999999</v>
      </c>
      <c r="M173" s="132">
        <v>1519.3053000000002</v>
      </c>
      <c r="N173" s="132">
        <v>749.89739999999995</v>
      </c>
      <c r="O173" s="132">
        <v>694.45</v>
      </c>
      <c r="P173" s="132">
        <v>17631.791299999993</v>
      </c>
      <c r="Q173" s="97">
        <f t="shared" si="11"/>
        <v>694.45</v>
      </c>
      <c r="R173" s="97">
        <f t="shared" si="12"/>
        <v>2620.7570000000001</v>
      </c>
      <c r="S173" s="84">
        <f t="shared" si="10"/>
        <v>14316.584300000028</v>
      </c>
      <c r="T173" s="64">
        <f t="shared" si="13"/>
        <v>29123.355300000028</v>
      </c>
    </row>
    <row r="174" spans="2:20" hidden="1">
      <c r="B174" s="79"/>
      <c r="C174" s="124" t="s">
        <v>125</v>
      </c>
      <c r="D174" s="81" t="s">
        <v>180</v>
      </c>
      <c r="E174" s="87">
        <v>2011</v>
      </c>
      <c r="F174" s="132">
        <v>0</v>
      </c>
      <c r="G174" s="132">
        <v>0</v>
      </c>
      <c r="H174" s="132">
        <v>0</v>
      </c>
      <c r="I174" s="132">
        <v>81.09999999999998</v>
      </c>
      <c r="J174" s="132">
        <v>35.421100000000003</v>
      </c>
      <c r="K174" s="132">
        <v>13799.573100000018</v>
      </c>
      <c r="L174" s="132">
        <v>327.83889999999997</v>
      </c>
      <c r="M174" s="132">
        <v>1478.9436999999998</v>
      </c>
      <c r="N174" s="132">
        <v>774.97050000000002</v>
      </c>
      <c r="O174" s="132">
        <v>650.6</v>
      </c>
      <c r="P174" s="132">
        <v>17148.447300000065</v>
      </c>
      <c r="Q174" s="97">
        <f t="shared" si="11"/>
        <v>650.6</v>
      </c>
      <c r="R174" s="97">
        <f t="shared" si="12"/>
        <v>2581.7530999999999</v>
      </c>
      <c r="S174" s="84">
        <f t="shared" si="10"/>
        <v>13916.094200000018</v>
      </c>
      <c r="T174" s="64">
        <f t="shared" si="13"/>
        <v>28167.353500000019</v>
      </c>
    </row>
    <row r="175" spans="2:20" hidden="1">
      <c r="B175" s="79"/>
      <c r="C175" s="124" t="s">
        <v>125</v>
      </c>
      <c r="D175" s="81" t="s">
        <v>180</v>
      </c>
      <c r="E175" s="82">
        <v>2012</v>
      </c>
      <c r="F175" s="133">
        <v>0</v>
      </c>
      <c r="G175" s="133">
        <v>0</v>
      </c>
      <c r="H175" s="133">
        <v>0</v>
      </c>
      <c r="I175" s="133">
        <v>96.139999999999986</v>
      </c>
      <c r="J175" s="133">
        <v>22.088799999999996</v>
      </c>
      <c r="K175" s="133">
        <v>13950.27540000006</v>
      </c>
      <c r="L175" s="133">
        <v>266.79459999999995</v>
      </c>
      <c r="M175" s="133">
        <v>1076.0885999999998</v>
      </c>
      <c r="N175" s="133">
        <v>805.82449999999994</v>
      </c>
      <c r="O175" s="133">
        <v>633.12469999999985</v>
      </c>
      <c r="P175" s="133">
        <v>16850.33660000009</v>
      </c>
      <c r="Q175" s="97">
        <f t="shared" si="11"/>
        <v>633.12469999999985</v>
      </c>
      <c r="R175" s="97">
        <f t="shared" si="12"/>
        <v>2148.7076999999999</v>
      </c>
      <c r="S175" s="84">
        <f t="shared" si="10"/>
        <v>14068.504200000061</v>
      </c>
      <c r="T175" s="64">
        <f t="shared" si="13"/>
        <v>26845.874300000061</v>
      </c>
    </row>
    <row r="176" spans="2:20" hidden="1">
      <c r="B176" s="79"/>
      <c r="C176" s="124" t="s">
        <v>125</v>
      </c>
      <c r="D176" s="77" t="s">
        <v>180</v>
      </c>
      <c r="E176" s="87">
        <v>2005</v>
      </c>
      <c r="F176" s="132">
        <v>0</v>
      </c>
      <c r="G176" s="132">
        <v>0</v>
      </c>
      <c r="H176" s="132">
        <v>0</v>
      </c>
      <c r="I176" s="132">
        <v>0</v>
      </c>
      <c r="J176" s="132">
        <v>7.6</v>
      </c>
      <c r="K176" s="132">
        <v>1919.0633999999973</v>
      </c>
      <c r="L176" s="132">
        <v>20.074999999999996</v>
      </c>
      <c r="M176" s="132">
        <v>146.08919999999998</v>
      </c>
      <c r="N176" s="132">
        <v>108.5047</v>
      </c>
      <c r="O176" s="132">
        <v>108.325</v>
      </c>
      <c r="P176" s="132">
        <v>2309.6572999999962</v>
      </c>
      <c r="Q176" s="97">
        <f t="shared" si="11"/>
        <v>108.325</v>
      </c>
      <c r="R176" s="97">
        <f t="shared" si="12"/>
        <v>274.66889999999995</v>
      </c>
      <c r="S176" s="84">
        <f t="shared" si="10"/>
        <v>1926.6633999999972</v>
      </c>
      <c r="T176" s="64">
        <f t="shared" si="13"/>
        <v>3833.9200999999971</v>
      </c>
    </row>
    <row r="177" spans="2:20" hidden="1">
      <c r="B177" s="79"/>
      <c r="C177" s="124" t="s">
        <v>125</v>
      </c>
      <c r="D177" s="81" t="s">
        <v>179</v>
      </c>
      <c r="E177" s="87">
        <v>2006</v>
      </c>
      <c r="F177" s="132">
        <v>0</v>
      </c>
      <c r="G177" s="132">
        <v>0</v>
      </c>
      <c r="H177" s="132">
        <v>0</v>
      </c>
      <c r="I177" s="132">
        <v>0</v>
      </c>
      <c r="J177" s="132">
        <v>4</v>
      </c>
      <c r="K177" s="132">
        <v>1737.9374000000007</v>
      </c>
      <c r="L177" s="132">
        <v>27.274999999999999</v>
      </c>
      <c r="M177" s="132">
        <v>121.77079999999999</v>
      </c>
      <c r="N177" s="132">
        <v>111.2748</v>
      </c>
      <c r="O177" s="132">
        <v>185.52500000000001</v>
      </c>
      <c r="P177" s="132">
        <v>2187.782999999999</v>
      </c>
      <c r="Q177" s="97">
        <f t="shared" si="11"/>
        <v>185.52500000000001</v>
      </c>
      <c r="R177" s="97">
        <f t="shared" si="12"/>
        <v>260.32060000000001</v>
      </c>
      <c r="S177" s="84">
        <f t="shared" si="10"/>
        <v>1741.9374000000007</v>
      </c>
      <c r="T177" s="64">
        <f t="shared" si="13"/>
        <v>4378.1492000000007</v>
      </c>
    </row>
    <row r="178" spans="2:20" hidden="1">
      <c r="B178" s="79"/>
      <c r="C178" s="124" t="s">
        <v>125</v>
      </c>
      <c r="D178" s="81" t="s">
        <v>179</v>
      </c>
      <c r="E178" s="87">
        <v>2007</v>
      </c>
      <c r="F178" s="132">
        <v>0</v>
      </c>
      <c r="G178" s="132">
        <v>0</v>
      </c>
      <c r="H178" s="132">
        <v>0</v>
      </c>
      <c r="I178" s="132">
        <v>0</v>
      </c>
      <c r="J178" s="132">
        <v>2.3003999999999998</v>
      </c>
      <c r="K178" s="132">
        <v>1508.1652999999999</v>
      </c>
      <c r="L178" s="132">
        <v>48.125699999999995</v>
      </c>
      <c r="M178" s="132">
        <v>106.32769999999999</v>
      </c>
      <c r="N178" s="132">
        <v>123.82879999999999</v>
      </c>
      <c r="O178" s="132">
        <v>260.14999999999998</v>
      </c>
      <c r="P178" s="132">
        <v>2048.8978999999986</v>
      </c>
      <c r="Q178" s="97">
        <f t="shared" si="11"/>
        <v>260.14999999999998</v>
      </c>
      <c r="R178" s="97">
        <f t="shared" si="12"/>
        <v>278.28219999999999</v>
      </c>
      <c r="S178" s="84">
        <f t="shared" si="10"/>
        <v>1510.4657</v>
      </c>
      <c r="T178" s="64">
        <f t="shared" si="13"/>
        <v>4946.8122999999996</v>
      </c>
    </row>
    <row r="179" spans="2:20" hidden="1">
      <c r="B179" s="79"/>
      <c r="C179" s="124" t="s">
        <v>125</v>
      </c>
      <c r="D179" s="81" t="s">
        <v>179</v>
      </c>
      <c r="E179" s="87">
        <v>2008</v>
      </c>
      <c r="F179" s="132">
        <v>0</v>
      </c>
      <c r="G179" s="132">
        <v>0</v>
      </c>
      <c r="H179" s="132">
        <v>0</v>
      </c>
      <c r="I179" s="132">
        <v>0</v>
      </c>
      <c r="J179" s="132">
        <v>0.66679999999999995</v>
      </c>
      <c r="K179" s="132">
        <v>1314.0427999999999</v>
      </c>
      <c r="L179" s="132">
        <v>39.483799999999995</v>
      </c>
      <c r="M179" s="132">
        <v>99.858700000000013</v>
      </c>
      <c r="N179" s="132">
        <v>110.5258</v>
      </c>
      <c r="O179" s="132">
        <v>319.74000000000007</v>
      </c>
      <c r="P179" s="132">
        <v>1884.3178999999989</v>
      </c>
      <c r="Q179" s="97">
        <f t="shared" si="11"/>
        <v>319.74000000000007</v>
      </c>
      <c r="R179" s="97">
        <f t="shared" si="12"/>
        <v>249.8683</v>
      </c>
      <c r="S179" s="84">
        <f t="shared" si="10"/>
        <v>1314.7095999999999</v>
      </c>
      <c r="T179" s="64">
        <f t="shared" si="13"/>
        <v>5261.714500000001</v>
      </c>
    </row>
    <row r="180" spans="2:20" hidden="1">
      <c r="B180" s="79"/>
      <c r="C180" s="124" t="s">
        <v>125</v>
      </c>
      <c r="D180" s="81" t="s">
        <v>179</v>
      </c>
      <c r="E180" s="87">
        <v>2009</v>
      </c>
      <c r="F180" s="132">
        <v>0</v>
      </c>
      <c r="G180" s="132">
        <v>0</v>
      </c>
      <c r="H180" s="132">
        <v>0</v>
      </c>
      <c r="I180" s="132">
        <v>155.69999999999999</v>
      </c>
      <c r="J180" s="132">
        <v>0.44999999999999996</v>
      </c>
      <c r="K180" s="132">
        <v>1295.5338999999992</v>
      </c>
      <c r="L180" s="132">
        <v>46.155699999999996</v>
      </c>
      <c r="M180" s="132">
        <v>100.4812</v>
      </c>
      <c r="N180" s="132">
        <v>122.7647</v>
      </c>
      <c r="O180" s="132">
        <v>369.95</v>
      </c>
      <c r="P180" s="132">
        <v>2091.0354999999995</v>
      </c>
      <c r="Q180" s="97">
        <f t="shared" si="11"/>
        <v>369.95</v>
      </c>
      <c r="R180" s="97">
        <f t="shared" si="12"/>
        <v>269.40160000000003</v>
      </c>
      <c r="S180" s="84">
        <f t="shared" si="10"/>
        <v>1451.6838999999991</v>
      </c>
      <c r="T180" s="64">
        <f t="shared" si="13"/>
        <v>5959.3886999999995</v>
      </c>
    </row>
    <row r="181" spans="2:20" hidden="1">
      <c r="B181" s="79"/>
      <c r="C181" s="124" t="s">
        <v>125</v>
      </c>
      <c r="D181" s="81" t="s">
        <v>179</v>
      </c>
      <c r="E181" s="87">
        <v>2010</v>
      </c>
      <c r="F181" s="132">
        <v>0</v>
      </c>
      <c r="G181" s="132">
        <v>0</v>
      </c>
      <c r="H181" s="132">
        <v>0</v>
      </c>
      <c r="I181" s="132">
        <v>144.10000000000002</v>
      </c>
      <c r="J181" s="132">
        <v>0</v>
      </c>
      <c r="K181" s="132">
        <v>1404.2219999999991</v>
      </c>
      <c r="L181" s="132">
        <v>47.448100000000004</v>
      </c>
      <c r="M181" s="132">
        <v>85.232400000000013</v>
      </c>
      <c r="N181" s="132">
        <v>119.99459999999999</v>
      </c>
      <c r="O181" s="132">
        <v>386.46499999999997</v>
      </c>
      <c r="P181" s="132">
        <v>2187.4620999999997</v>
      </c>
      <c r="Q181" s="97">
        <f t="shared" si="11"/>
        <v>386.46499999999997</v>
      </c>
      <c r="R181" s="97">
        <f t="shared" si="12"/>
        <v>252.67510000000001</v>
      </c>
      <c r="S181" s="84">
        <f t="shared" si="10"/>
        <v>1548.3219999999992</v>
      </c>
      <c r="T181" s="64">
        <f t="shared" si="13"/>
        <v>6170.9972999999991</v>
      </c>
    </row>
    <row r="182" spans="2:20" hidden="1">
      <c r="B182" s="79"/>
      <c r="C182" s="124" t="s">
        <v>125</v>
      </c>
      <c r="D182" s="81" t="s">
        <v>179</v>
      </c>
      <c r="E182" s="87">
        <v>2011</v>
      </c>
      <c r="F182" s="132">
        <v>0</v>
      </c>
      <c r="G182" s="132">
        <v>0</v>
      </c>
      <c r="H182" s="132">
        <v>0</v>
      </c>
      <c r="I182" s="132">
        <v>141.79999999999998</v>
      </c>
      <c r="J182" s="132">
        <v>0</v>
      </c>
      <c r="K182" s="132">
        <v>1537.8218999999995</v>
      </c>
      <c r="L182" s="132">
        <v>51.669399999999996</v>
      </c>
      <c r="M182" s="132">
        <v>106.65380000000002</v>
      </c>
      <c r="N182" s="132">
        <v>110.48820000000002</v>
      </c>
      <c r="O182" s="132">
        <v>435.125</v>
      </c>
      <c r="P182" s="132">
        <v>2383.5582999999992</v>
      </c>
      <c r="Q182" s="97">
        <f t="shared" si="11"/>
        <v>435.125</v>
      </c>
      <c r="R182" s="97">
        <f t="shared" si="12"/>
        <v>268.81140000000005</v>
      </c>
      <c r="S182" s="84">
        <f t="shared" si="10"/>
        <v>1679.6218999999994</v>
      </c>
      <c r="T182" s="64">
        <f t="shared" si="13"/>
        <v>6837.3060999999989</v>
      </c>
    </row>
    <row r="183" spans="2:20" hidden="1">
      <c r="B183" s="79"/>
      <c r="C183" s="124" t="s">
        <v>125</v>
      </c>
      <c r="D183" s="81" t="s">
        <v>179</v>
      </c>
      <c r="E183" s="82">
        <v>2012</v>
      </c>
      <c r="F183" s="133">
        <v>0</v>
      </c>
      <c r="G183" s="133">
        <v>0</v>
      </c>
      <c r="H183" s="133">
        <v>0</v>
      </c>
      <c r="I183" s="133">
        <v>151.70000000000005</v>
      </c>
      <c r="J183" s="133">
        <v>0</v>
      </c>
      <c r="K183" s="133">
        <v>1460.0878999999986</v>
      </c>
      <c r="L183" s="133">
        <v>27.473299999999998</v>
      </c>
      <c r="M183" s="133">
        <v>59.210100000000004</v>
      </c>
      <c r="N183" s="133">
        <v>118.11519999999997</v>
      </c>
      <c r="O183" s="133">
        <v>494.42500000000007</v>
      </c>
      <c r="P183" s="133">
        <v>2311.0114999999992</v>
      </c>
      <c r="Q183" s="97">
        <f t="shared" si="11"/>
        <v>494.42500000000007</v>
      </c>
      <c r="R183" s="97">
        <f t="shared" si="12"/>
        <v>204.79859999999996</v>
      </c>
      <c r="S183" s="84">
        <f t="shared" si="10"/>
        <v>1611.7878999999987</v>
      </c>
      <c r="T183" s="64">
        <f t="shared" si="13"/>
        <v>7170.4336999999996</v>
      </c>
    </row>
    <row r="184" spans="2:20" hidden="1">
      <c r="B184" s="79"/>
      <c r="C184" s="124" t="s">
        <v>125</v>
      </c>
      <c r="D184" s="77" t="s">
        <v>119</v>
      </c>
      <c r="E184" s="87">
        <v>2005</v>
      </c>
      <c r="F184" s="132">
        <v>0</v>
      </c>
      <c r="G184" s="132">
        <v>0</v>
      </c>
      <c r="H184" s="132">
        <v>0</v>
      </c>
      <c r="I184" s="132">
        <v>73.659800000000004</v>
      </c>
      <c r="J184" s="132">
        <v>119.93729999999998</v>
      </c>
      <c r="K184" s="132">
        <v>14238.343000000015</v>
      </c>
      <c r="L184" s="132">
        <v>314.53879999999998</v>
      </c>
      <c r="M184" s="132">
        <v>1569.5139999999997</v>
      </c>
      <c r="N184" s="132">
        <v>799.81089999999995</v>
      </c>
      <c r="O184" s="132">
        <v>654.59990000000005</v>
      </c>
      <c r="P184" s="132">
        <v>17770.403699999988</v>
      </c>
      <c r="Q184" s="97">
        <f t="shared" si="11"/>
        <v>654.59990000000005</v>
      </c>
      <c r="R184" s="97">
        <f t="shared" si="12"/>
        <v>2683.8636999999999</v>
      </c>
      <c r="S184" s="84">
        <f t="shared" si="10"/>
        <v>14431.940100000016</v>
      </c>
      <c r="T184" s="64">
        <f t="shared" si="13"/>
        <v>29029.530200000016</v>
      </c>
    </row>
    <row r="185" spans="2:20" hidden="1">
      <c r="B185" s="79"/>
      <c r="C185" s="124" t="s">
        <v>125</v>
      </c>
      <c r="D185" s="81" t="s">
        <v>119</v>
      </c>
      <c r="E185" s="87">
        <v>2006</v>
      </c>
      <c r="F185" s="132">
        <v>0</v>
      </c>
      <c r="G185" s="132">
        <v>0</v>
      </c>
      <c r="H185" s="132">
        <v>0</v>
      </c>
      <c r="I185" s="132">
        <v>114.95580000000001</v>
      </c>
      <c r="J185" s="132">
        <v>108.29049999999999</v>
      </c>
      <c r="K185" s="132">
        <v>14003.905800000035</v>
      </c>
      <c r="L185" s="132">
        <v>241.93859999999998</v>
      </c>
      <c r="M185" s="132">
        <v>1533.1852999999994</v>
      </c>
      <c r="N185" s="132">
        <v>772.10640000000001</v>
      </c>
      <c r="O185" s="132">
        <v>753.1</v>
      </c>
      <c r="P185" s="132">
        <v>17527.482400000048</v>
      </c>
      <c r="Q185" s="97">
        <f t="shared" si="11"/>
        <v>753.1</v>
      </c>
      <c r="R185" s="97">
        <f t="shared" si="12"/>
        <v>2547.2302999999993</v>
      </c>
      <c r="S185" s="84">
        <f t="shared" si="10"/>
        <v>14227.152100000036</v>
      </c>
      <c r="T185" s="64">
        <f t="shared" si="13"/>
        <v>29399.843000000033</v>
      </c>
    </row>
    <row r="186" spans="2:20" hidden="1">
      <c r="B186" s="79"/>
      <c r="C186" s="124" t="s">
        <v>125</v>
      </c>
      <c r="D186" s="81" t="s">
        <v>119</v>
      </c>
      <c r="E186" s="87">
        <v>2007</v>
      </c>
      <c r="F186" s="132">
        <v>0</v>
      </c>
      <c r="G186" s="132">
        <v>0</v>
      </c>
      <c r="H186" s="132">
        <v>0</v>
      </c>
      <c r="I186" s="132">
        <v>122.61690000000004</v>
      </c>
      <c r="J186" s="132">
        <v>158.57499999999999</v>
      </c>
      <c r="K186" s="132">
        <v>14386.965500000029</v>
      </c>
      <c r="L186" s="132">
        <v>340.5757999999999</v>
      </c>
      <c r="M186" s="132">
        <v>1565.9300999999998</v>
      </c>
      <c r="N186" s="132">
        <v>764.53800000000035</v>
      </c>
      <c r="O186" s="132">
        <v>879.65379999999993</v>
      </c>
      <c r="P186" s="132">
        <v>18218.855100000023</v>
      </c>
      <c r="Q186" s="97">
        <f t="shared" si="11"/>
        <v>879.65379999999993</v>
      </c>
      <c r="R186" s="97">
        <f t="shared" si="12"/>
        <v>2671.0439000000001</v>
      </c>
      <c r="S186" s="84">
        <f t="shared" si="10"/>
        <v>14668.157400000029</v>
      </c>
      <c r="T186" s="64">
        <f t="shared" si="13"/>
        <v>31477.827100000028</v>
      </c>
    </row>
    <row r="187" spans="2:20">
      <c r="B187" s="79"/>
      <c r="C187" s="123" t="s">
        <v>125</v>
      </c>
      <c r="D187" s="94" t="s">
        <v>119</v>
      </c>
      <c r="E187" s="100">
        <v>2006</v>
      </c>
      <c r="F187" s="135">
        <v>0</v>
      </c>
      <c r="G187" s="135">
        <v>0</v>
      </c>
      <c r="H187" s="135">
        <v>0</v>
      </c>
      <c r="I187" s="135">
        <v>114.9558</v>
      </c>
      <c r="J187" s="135">
        <v>108.29050000000002</v>
      </c>
      <c r="K187" s="135">
        <v>14003.905800000039</v>
      </c>
      <c r="L187" s="135">
        <v>241.93859999999992</v>
      </c>
      <c r="M187" s="135">
        <v>1533.1852999999996</v>
      </c>
      <c r="N187" s="135">
        <v>772.10640000000012</v>
      </c>
      <c r="O187" s="135">
        <v>753.09999999999991</v>
      </c>
      <c r="P187" s="135">
        <v>17527.482400000012</v>
      </c>
      <c r="Q187" s="97">
        <f t="shared" si="11"/>
        <v>753.09999999999991</v>
      </c>
      <c r="R187" s="97">
        <f t="shared" si="12"/>
        <v>2547.2302999999997</v>
      </c>
      <c r="S187" s="97">
        <f t="shared" si="10"/>
        <v>14227.152100000039</v>
      </c>
      <c r="T187" s="98">
        <f t="shared" si="13"/>
        <v>29399.843000000037</v>
      </c>
    </row>
    <row r="188" spans="2:20">
      <c r="B188" s="79"/>
      <c r="C188" s="123" t="s">
        <v>125</v>
      </c>
      <c r="D188" s="94" t="s">
        <v>119</v>
      </c>
      <c r="E188" s="100">
        <v>2007</v>
      </c>
      <c r="F188" s="135">
        <v>0</v>
      </c>
      <c r="G188" s="135">
        <v>0</v>
      </c>
      <c r="H188" s="135">
        <v>0</v>
      </c>
      <c r="I188" s="135">
        <v>122.61690000000003</v>
      </c>
      <c r="J188" s="135">
        <v>158.57499999999999</v>
      </c>
      <c r="K188" s="135">
        <v>14386.965499999978</v>
      </c>
      <c r="L188" s="135">
        <v>340.57580000000007</v>
      </c>
      <c r="M188" s="135">
        <v>1565.9300999999996</v>
      </c>
      <c r="N188" s="135">
        <v>764.53800000000012</v>
      </c>
      <c r="O188" s="135">
        <v>880.15409999999986</v>
      </c>
      <c r="P188" s="135">
        <v>18219.355399999997</v>
      </c>
      <c r="Q188" s="97">
        <f t="shared" si="11"/>
        <v>880.15409999999986</v>
      </c>
      <c r="R188" s="97">
        <f t="shared" si="12"/>
        <v>2671.0438999999997</v>
      </c>
      <c r="S188" s="97">
        <f t="shared" si="10"/>
        <v>14668.157399999978</v>
      </c>
      <c r="T188" s="98">
        <f t="shared" si="13"/>
        <v>31482.830099999977</v>
      </c>
    </row>
    <row r="189" spans="2:20" s="99" customFormat="1">
      <c r="B189" s="90"/>
      <c r="C189" s="123" t="s">
        <v>125</v>
      </c>
      <c r="D189" s="94" t="s">
        <v>119</v>
      </c>
      <c r="E189" s="100">
        <v>2008</v>
      </c>
      <c r="F189" s="135">
        <v>0</v>
      </c>
      <c r="G189" s="135">
        <v>0</v>
      </c>
      <c r="H189" s="135">
        <v>0</v>
      </c>
      <c r="I189" s="135">
        <v>126.03690000000002</v>
      </c>
      <c r="J189" s="135">
        <v>54.563200000000002</v>
      </c>
      <c r="K189" s="135">
        <v>14545.304600000027</v>
      </c>
      <c r="L189" s="135">
        <v>313.41789999999997</v>
      </c>
      <c r="M189" s="135">
        <v>1537.8825999999999</v>
      </c>
      <c r="N189" s="135">
        <v>778.20240000000001</v>
      </c>
      <c r="O189" s="135">
        <v>938.91490000000022</v>
      </c>
      <c r="P189" s="135">
        <v>18294.322500000013</v>
      </c>
      <c r="Q189" s="97">
        <f t="shared" si="11"/>
        <v>938.91490000000022</v>
      </c>
      <c r="R189" s="97">
        <f t="shared" si="12"/>
        <v>2629.5029</v>
      </c>
      <c r="S189" s="97">
        <f t="shared" si="10"/>
        <v>14725.904700000026</v>
      </c>
      <c r="T189" s="98">
        <f t="shared" si="13"/>
        <v>32003.562400000032</v>
      </c>
    </row>
    <row r="190" spans="2:20" s="99" customFormat="1">
      <c r="B190" s="90"/>
      <c r="C190" s="123" t="s">
        <v>125</v>
      </c>
      <c r="D190" s="94" t="s">
        <v>119</v>
      </c>
      <c r="E190" s="100">
        <v>2009</v>
      </c>
      <c r="F190" s="135">
        <v>0</v>
      </c>
      <c r="G190" s="135">
        <v>0</v>
      </c>
      <c r="H190" s="135">
        <v>0</v>
      </c>
      <c r="I190" s="135">
        <v>265.5</v>
      </c>
      <c r="J190" s="135">
        <v>59.280499999999996</v>
      </c>
      <c r="K190" s="135">
        <v>15116.086199999992</v>
      </c>
      <c r="L190" s="135">
        <v>315.78910000000008</v>
      </c>
      <c r="M190" s="135">
        <v>1544.2723999999996</v>
      </c>
      <c r="N190" s="135">
        <v>790.99689999999987</v>
      </c>
      <c r="O190" s="135">
        <v>1034.1500000000001</v>
      </c>
      <c r="P190" s="135">
        <v>19126.075100000031</v>
      </c>
      <c r="Q190" s="97">
        <f t="shared" si="11"/>
        <v>1034.1500000000001</v>
      </c>
      <c r="R190" s="97">
        <f t="shared" si="12"/>
        <v>2651.0583999999999</v>
      </c>
      <c r="S190" s="97">
        <f t="shared" si="10"/>
        <v>15440.866699999993</v>
      </c>
      <c r="T190" s="98">
        <f t="shared" si="13"/>
        <v>33735.541899999989</v>
      </c>
    </row>
    <row r="191" spans="2:20" s="99" customFormat="1">
      <c r="B191" s="90"/>
      <c r="C191" s="123" t="s">
        <v>125</v>
      </c>
      <c r="D191" s="94" t="s">
        <v>119</v>
      </c>
      <c r="E191" s="100">
        <v>2010</v>
      </c>
      <c r="F191" s="135">
        <v>0</v>
      </c>
      <c r="G191" s="135">
        <v>0</v>
      </c>
      <c r="H191" s="135">
        <v>0</v>
      </c>
      <c r="I191" s="135">
        <v>254.5</v>
      </c>
      <c r="J191" s="135">
        <v>47.539499999999997</v>
      </c>
      <c r="K191" s="135">
        <v>15562.866800000027</v>
      </c>
      <c r="L191" s="135">
        <v>399.00239999999991</v>
      </c>
      <c r="M191" s="135">
        <v>1604.5377000000003</v>
      </c>
      <c r="N191" s="135">
        <v>869.89199999999994</v>
      </c>
      <c r="O191" s="135">
        <v>1080.915</v>
      </c>
      <c r="P191" s="135">
        <v>19819.253399999994</v>
      </c>
      <c r="Q191" s="97">
        <f t="shared" si="11"/>
        <v>1080.915</v>
      </c>
      <c r="R191" s="97">
        <f t="shared" si="12"/>
        <v>2873.4321</v>
      </c>
      <c r="S191" s="97">
        <f t="shared" si="10"/>
        <v>15864.906300000028</v>
      </c>
      <c r="T191" s="98">
        <f t="shared" si="13"/>
        <v>35294.352600000027</v>
      </c>
    </row>
    <row r="192" spans="2:20" s="99" customFormat="1">
      <c r="B192" s="90"/>
      <c r="C192" s="123" t="s">
        <v>125</v>
      </c>
      <c r="D192" s="94" t="s">
        <v>119</v>
      </c>
      <c r="E192" s="100">
        <v>2011</v>
      </c>
      <c r="F192" s="135">
        <v>0</v>
      </c>
      <c r="G192" s="135">
        <v>0</v>
      </c>
      <c r="H192" s="135">
        <v>0</v>
      </c>
      <c r="I192" s="135">
        <v>222.89999999999998</v>
      </c>
      <c r="J192" s="135">
        <v>35.421100000000003</v>
      </c>
      <c r="K192" s="135">
        <v>15337.395000000017</v>
      </c>
      <c r="L192" s="135">
        <v>379.50829999999996</v>
      </c>
      <c r="M192" s="135">
        <v>1585.5974999999999</v>
      </c>
      <c r="N192" s="135">
        <v>885.45870000000002</v>
      </c>
      <c r="O192" s="135">
        <v>1085.7249999999999</v>
      </c>
      <c r="P192" s="135">
        <v>19532.005600000066</v>
      </c>
      <c r="Q192" s="97">
        <f t="shared" si="11"/>
        <v>1085.7249999999999</v>
      </c>
      <c r="R192" s="97">
        <f t="shared" si="12"/>
        <v>2850.5645</v>
      </c>
      <c r="S192" s="97">
        <f t="shared" si="10"/>
        <v>15595.716100000016</v>
      </c>
      <c r="T192" s="98">
        <f t="shared" si="13"/>
        <v>35004.659600000014</v>
      </c>
    </row>
    <row r="193" spans="2:20" s="99" customFormat="1">
      <c r="B193" s="90"/>
      <c r="C193" s="533" t="s">
        <v>125</v>
      </c>
      <c r="D193" s="94" t="s">
        <v>119</v>
      </c>
      <c r="E193" s="100">
        <v>2012</v>
      </c>
      <c r="F193" s="135">
        <v>0</v>
      </c>
      <c r="G193" s="135">
        <v>0</v>
      </c>
      <c r="H193" s="135">
        <v>0</v>
      </c>
      <c r="I193" s="135">
        <v>247.84000000000003</v>
      </c>
      <c r="J193" s="135">
        <v>22.088799999999996</v>
      </c>
      <c r="K193" s="135">
        <v>15410.363300000059</v>
      </c>
      <c r="L193" s="135">
        <v>294.26789999999994</v>
      </c>
      <c r="M193" s="135">
        <v>1135.2986999999998</v>
      </c>
      <c r="N193" s="135">
        <v>923.9396999999999</v>
      </c>
      <c r="O193" s="135">
        <v>1127.5497</v>
      </c>
      <c r="P193" s="135">
        <v>19161.34810000009</v>
      </c>
      <c r="Q193" s="97">
        <f t="shared" si="11"/>
        <v>1127.5497</v>
      </c>
      <c r="R193" s="97">
        <f t="shared" si="12"/>
        <v>2353.5062999999996</v>
      </c>
      <c r="S193" s="97">
        <f t="shared" ref="S193:S221" si="14">SUM(F193:K193)</f>
        <v>15680.292100000059</v>
      </c>
      <c r="T193" s="98">
        <f t="shared" si="13"/>
        <v>34016.308000000055</v>
      </c>
    </row>
    <row r="194" spans="2:20" s="99" customFormat="1">
      <c r="C194" s="123" t="s">
        <v>125</v>
      </c>
      <c r="D194" s="534" t="s">
        <v>119</v>
      </c>
      <c r="E194" s="532">
        <v>2013</v>
      </c>
      <c r="F194" s="525">
        <v>0</v>
      </c>
      <c r="G194" s="525">
        <v>0</v>
      </c>
      <c r="H194" s="525">
        <v>0</v>
      </c>
      <c r="I194" s="525">
        <v>274.72000000000008</v>
      </c>
      <c r="J194" s="525">
        <v>9.5170999999999992</v>
      </c>
      <c r="K194" s="525">
        <v>15362.957200000015</v>
      </c>
      <c r="L194" s="525">
        <v>317.74330000000009</v>
      </c>
      <c r="M194" s="525">
        <v>975.44630000000029</v>
      </c>
      <c r="N194" s="525">
        <v>862.75680000000011</v>
      </c>
      <c r="O194" s="525">
        <v>1092.7433000000001</v>
      </c>
      <c r="P194" s="525">
        <v>18895.8840000001</v>
      </c>
      <c r="Q194" s="526">
        <f t="shared" si="11"/>
        <v>1092.7433000000001</v>
      </c>
      <c r="R194" s="526">
        <f t="shared" si="12"/>
        <v>2155.9464000000007</v>
      </c>
      <c r="S194" s="526">
        <f t="shared" si="14"/>
        <v>15647.194300000016</v>
      </c>
      <c r="T194" s="527">
        <f t="shared" si="13"/>
        <v>33042.466500000017</v>
      </c>
    </row>
    <row r="195" spans="2:20" hidden="1">
      <c r="B195" s="79"/>
      <c r="C195" s="124" t="s">
        <v>126</v>
      </c>
      <c r="D195" s="77" t="s">
        <v>179</v>
      </c>
      <c r="E195" s="87">
        <v>2005</v>
      </c>
      <c r="F195" s="132">
        <v>0</v>
      </c>
      <c r="G195" s="132">
        <v>374.99910000000023</v>
      </c>
      <c r="H195" s="132">
        <v>669.30929999999989</v>
      </c>
      <c r="I195" s="132">
        <v>642.07010000000014</v>
      </c>
      <c r="J195" s="132">
        <v>2875.8570000000013</v>
      </c>
      <c r="K195" s="132">
        <v>6076.348600000003</v>
      </c>
      <c r="L195" s="132">
        <v>377.4717</v>
      </c>
      <c r="M195" s="132">
        <v>129.22990000000001</v>
      </c>
      <c r="N195" s="132">
        <v>449.55300000000011</v>
      </c>
      <c r="O195" s="132">
        <v>119.3633</v>
      </c>
      <c r="P195" s="132">
        <v>11714.20199999997</v>
      </c>
      <c r="Q195" s="97">
        <f t="shared" si="11"/>
        <v>119.3633</v>
      </c>
      <c r="R195" s="97">
        <f t="shared" si="12"/>
        <v>956.2546000000001</v>
      </c>
      <c r="S195" s="84">
        <f t="shared" si="14"/>
        <v>10638.584100000004</v>
      </c>
      <c r="T195" s="64">
        <f t="shared" si="13"/>
        <v>14700.980900000004</v>
      </c>
    </row>
    <row r="196" spans="2:20" hidden="1">
      <c r="B196" s="79"/>
      <c r="C196" s="124" t="s">
        <v>126</v>
      </c>
      <c r="D196" s="81" t="s">
        <v>180</v>
      </c>
      <c r="E196" s="87">
        <v>2006</v>
      </c>
      <c r="F196" s="132">
        <v>0</v>
      </c>
      <c r="G196" s="132">
        <v>327.73720000000026</v>
      </c>
      <c r="H196" s="132">
        <v>574.65939999999989</v>
      </c>
      <c r="I196" s="132">
        <v>669.68779999999992</v>
      </c>
      <c r="J196" s="132">
        <v>2965.2596000000003</v>
      </c>
      <c r="K196" s="132">
        <v>6617.9798000000028</v>
      </c>
      <c r="L196" s="132">
        <v>391.73609999999996</v>
      </c>
      <c r="M196" s="132">
        <v>185.7002</v>
      </c>
      <c r="N196" s="132">
        <v>443.09929999999991</v>
      </c>
      <c r="O196" s="132">
        <v>136.38759999999999</v>
      </c>
      <c r="P196" s="132">
        <v>12312.246999999981</v>
      </c>
      <c r="Q196" s="97">
        <f t="shared" si="11"/>
        <v>136.38759999999999</v>
      </c>
      <c r="R196" s="97">
        <f t="shared" si="12"/>
        <v>1020.5355999999999</v>
      </c>
      <c r="S196" s="84">
        <f t="shared" si="14"/>
        <v>11155.323800000004</v>
      </c>
      <c r="T196" s="64">
        <f t="shared" si="13"/>
        <v>15580.806600000004</v>
      </c>
    </row>
    <row r="197" spans="2:20" hidden="1">
      <c r="B197" s="79"/>
      <c r="C197" s="124" t="s">
        <v>126</v>
      </c>
      <c r="D197" s="81" t="s">
        <v>180</v>
      </c>
      <c r="E197" s="87">
        <v>2007</v>
      </c>
      <c r="F197" s="132">
        <v>0</v>
      </c>
      <c r="G197" s="132">
        <v>167.60030000000003</v>
      </c>
      <c r="H197" s="132">
        <v>378.05879999999985</v>
      </c>
      <c r="I197" s="132">
        <v>722.12469999999973</v>
      </c>
      <c r="J197" s="132">
        <v>3145.9892999999979</v>
      </c>
      <c r="K197" s="132">
        <v>7459.5039000000043</v>
      </c>
      <c r="L197" s="132">
        <v>401.93180000000001</v>
      </c>
      <c r="M197" s="132">
        <v>232.64789999999999</v>
      </c>
      <c r="N197" s="132">
        <v>465.43150000000003</v>
      </c>
      <c r="O197" s="132">
        <v>145.86410000000001</v>
      </c>
      <c r="P197" s="132">
        <v>13119.152299999996</v>
      </c>
      <c r="Q197" s="97">
        <f t="shared" si="11"/>
        <v>145.86410000000001</v>
      </c>
      <c r="R197" s="97">
        <f t="shared" si="12"/>
        <v>1100.0111999999999</v>
      </c>
      <c r="S197" s="84">
        <f t="shared" si="14"/>
        <v>11873.277000000002</v>
      </c>
      <c r="T197" s="64">
        <f t="shared" si="13"/>
        <v>16631.9516</v>
      </c>
    </row>
    <row r="198" spans="2:20" hidden="1">
      <c r="B198" s="79"/>
      <c r="C198" s="124" t="s">
        <v>126</v>
      </c>
      <c r="D198" s="81" t="s">
        <v>180</v>
      </c>
      <c r="E198" s="87">
        <v>2008</v>
      </c>
      <c r="F198" s="132">
        <v>0</v>
      </c>
      <c r="G198" s="132">
        <v>137.65199999999999</v>
      </c>
      <c r="H198" s="132">
        <v>487.12639999999993</v>
      </c>
      <c r="I198" s="132">
        <v>581.27379999999982</v>
      </c>
      <c r="J198" s="132">
        <v>2674.0737999999969</v>
      </c>
      <c r="K198" s="132">
        <v>8246.3580000000056</v>
      </c>
      <c r="L198" s="132">
        <v>403.58159999999998</v>
      </c>
      <c r="M198" s="132">
        <v>485.94800000000004</v>
      </c>
      <c r="N198" s="132">
        <v>524.16250000000002</v>
      </c>
      <c r="O198" s="132">
        <v>154.33659999999998</v>
      </c>
      <c r="P198" s="132">
        <v>13694.512700000001</v>
      </c>
      <c r="Q198" s="97">
        <f t="shared" si="11"/>
        <v>154.33659999999998</v>
      </c>
      <c r="R198" s="97">
        <f t="shared" si="12"/>
        <v>1413.6921000000002</v>
      </c>
      <c r="S198" s="84">
        <f t="shared" si="14"/>
        <v>12126.484000000002</v>
      </c>
      <c r="T198" s="64">
        <f t="shared" si="13"/>
        <v>17910.926300000003</v>
      </c>
    </row>
    <row r="199" spans="2:20" hidden="1">
      <c r="B199" s="79"/>
      <c r="C199" s="124" t="s">
        <v>126</v>
      </c>
      <c r="D199" s="81" t="s">
        <v>180</v>
      </c>
      <c r="E199" s="87">
        <v>2009</v>
      </c>
      <c r="F199" s="132">
        <v>0</v>
      </c>
      <c r="G199" s="132">
        <v>56.158000000000001</v>
      </c>
      <c r="H199" s="132">
        <v>321.64280000000008</v>
      </c>
      <c r="I199" s="132">
        <v>679.44839999999999</v>
      </c>
      <c r="J199" s="132">
        <v>2206.9767000000002</v>
      </c>
      <c r="K199" s="132">
        <v>9617.282500000003</v>
      </c>
      <c r="L199" s="132">
        <v>501.34989999999993</v>
      </c>
      <c r="M199" s="132">
        <v>672.97050000000002</v>
      </c>
      <c r="N199" s="132">
        <v>613.19000000000005</v>
      </c>
      <c r="O199" s="132">
        <v>182.1711</v>
      </c>
      <c r="P199" s="132">
        <v>14851.189900000008</v>
      </c>
      <c r="Q199" s="97">
        <f t="shared" si="11"/>
        <v>182.1711</v>
      </c>
      <c r="R199" s="97">
        <f t="shared" si="12"/>
        <v>1787.5104000000001</v>
      </c>
      <c r="S199" s="84">
        <f t="shared" si="14"/>
        <v>12881.508400000002</v>
      </c>
      <c r="T199" s="64">
        <f t="shared" si="13"/>
        <v>20065.750600000003</v>
      </c>
    </row>
    <row r="200" spans="2:20" hidden="1">
      <c r="B200" s="79"/>
      <c r="C200" s="124" t="s">
        <v>126</v>
      </c>
      <c r="D200" s="81" t="s">
        <v>180</v>
      </c>
      <c r="E200" s="87">
        <v>2010</v>
      </c>
      <c r="F200" s="132">
        <v>0</v>
      </c>
      <c r="G200" s="132">
        <v>96.5</v>
      </c>
      <c r="H200" s="132">
        <v>341.33979999999991</v>
      </c>
      <c r="I200" s="132">
        <v>502.80779999999999</v>
      </c>
      <c r="J200" s="132">
        <v>1912.7429999999988</v>
      </c>
      <c r="K200" s="132">
        <v>10562.932099999995</v>
      </c>
      <c r="L200" s="132">
        <v>494.279</v>
      </c>
      <c r="M200" s="132">
        <v>792.34369999999979</v>
      </c>
      <c r="N200" s="132">
        <v>666.54899999999975</v>
      </c>
      <c r="O200" s="132">
        <v>203.61799999999999</v>
      </c>
      <c r="P200" s="132">
        <v>15573.1124</v>
      </c>
      <c r="Q200" s="97">
        <f t="shared" si="11"/>
        <v>203.61799999999999</v>
      </c>
      <c r="R200" s="97">
        <f t="shared" si="12"/>
        <v>1953.1716999999996</v>
      </c>
      <c r="S200" s="84">
        <f t="shared" si="14"/>
        <v>13416.322699999993</v>
      </c>
      <c r="T200" s="64">
        <f t="shared" si="13"/>
        <v>21312.017799999994</v>
      </c>
    </row>
    <row r="201" spans="2:20" hidden="1">
      <c r="B201" s="79"/>
      <c r="C201" s="124" t="s">
        <v>126</v>
      </c>
      <c r="D201" s="81" t="s">
        <v>180</v>
      </c>
      <c r="E201" s="87">
        <v>2011</v>
      </c>
      <c r="F201" s="132">
        <v>0</v>
      </c>
      <c r="G201" s="132">
        <v>94.5</v>
      </c>
      <c r="H201" s="132">
        <v>146.77740000000003</v>
      </c>
      <c r="I201" s="132">
        <v>585.86899999999991</v>
      </c>
      <c r="J201" s="132">
        <v>1353.2971</v>
      </c>
      <c r="K201" s="132">
        <v>10927.174300000002</v>
      </c>
      <c r="L201" s="132">
        <v>439.93499999999995</v>
      </c>
      <c r="M201" s="132">
        <v>768.66480000000013</v>
      </c>
      <c r="N201" s="132">
        <v>629.98860000000002</v>
      </c>
      <c r="O201" s="132">
        <v>239.11630000000005</v>
      </c>
      <c r="P201" s="132">
        <v>15185.322500000011</v>
      </c>
      <c r="Q201" s="97">
        <f t="shared" si="11"/>
        <v>239.11630000000005</v>
      </c>
      <c r="R201" s="97">
        <f t="shared" si="12"/>
        <v>1838.5884000000001</v>
      </c>
      <c r="S201" s="84">
        <f t="shared" si="14"/>
        <v>13107.617800000002</v>
      </c>
      <c r="T201" s="64">
        <f t="shared" si="13"/>
        <v>21014.546000000002</v>
      </c>
    </row>
    <row r="202" spans="2:20" hidden="1">
      <c r="B202" s="79"/>
      <c r="C202" s="124" t="s">
        <v>126</v>
      </c>
      <c r="D202" s="81" t="s">
        <v>180</v>
      </c>
      <c r="E202" s="82">
        <v>2012</v>
      </c>
      <c r="F202" s="133">
        <v>0</v>
      </c>
      <c r="G202" s="133">
        <v>24</v>
      </c>
      <c r="H202" s="133">
        <v>121.80149999999999</v>
      </c>
      <c r="I202" s="133">
        <v>556.28099999999995</v>
      </c>
      <c r="J202" s="133">
        <v>1213.1871000000001</v>
      </c>
      <c r="K202" s="133">
        <v>11637.042900000011</v>
      </c>
      <c r="L202" s="133">
        <v>419.03810000000004</v>
      </c>
      <c r="M202" s="133">
        <v>825.71910000000003</v>
      </c>
      <c r="N202" s="133">
        <v>607.75149999999985</v>
      </c>
      <c r="O202" s="133">
        <v>230.58279999999996</v>
      </c>
      <c r="P202" s="133">
        <v>15635.404000000011</v>
      </c>
      <c r="Q202" s="97">
        <f t="shared" si="11"/>
        <v>230.58279999999996</v>
      </c>
      <c r="R202" s="97">
        <f t="shared" si="12"/>
        <v>1852.5086999999999</v>
      </c>
      <c r="S202" s="84">
        <f t="shared" si="14"/>
        <v>13552.312500000011</v>
      </c>
      <c r="T202" s="64">
        <f t="shared" si="13"/>
        <v>21415.666600000011</v>
      </c>
    </row>
    <row r="203" spans="2:20" hidden="1">
      <c r="B203" s="79"/>
      <c r="C203" s="124" t="s">
        <v>126</v>
      </c>
      <c r="D203" s="77" t="s">
        <v>180</v>
      </c>
      <c r="E203" s="87">
        <v>2005</v>
      </c>
      <c r="F203" s="132">
        <v>0</v>
      </c>
      <c r="G203" s="132">
        <v>50.25950000000001</v>
      </c>
      <c r="H203" s="132">
        <v>244.15739999999997</v>
      </c>
      <c r="I203" s="132">
        <v>98</v>
      </c>
      <c r="J203" s="132">
        <v>1087.6626000000008</v>
      </c>
      <c r="K203" s="132">
        <v>1691.0403999999999</v>
      </c>
      <c r="L203" s="132">
        <v>62.415400000000005</v>
      </c>
      <c r="M203" s="132">
        <v>12.1851</v>
      </c>
      <c r="N203" s="132">
        <v>116.91880000000002</v>
      </c>
      <c r="O203" s="132">
        <v>8.2295999999999996</v>
      </c>
      <c r="P203" s="132">
        <v>3370.8687999999984</v>
      </c>
      <c r="Q203" s="97">
        <f t="shared" si="11"/>
        <v>8.2295999999999996</v>
      </c>
      <c r="R203" s="97">
        <f t="shared" si="12"/>
        <v>191.51930000000004</v>
      </c>
      <c r="S203" s="84">
        <f t="shared" si="14"/>
        <v>3171.1199000000006</v>
      </c>
      <c r="T203" s="64">
        <f t="shared" si="13"/>
        <v>3827.9738000000007</v>
      </c>
    </row>
    <row r="204" spans="2:20" hidden="1">
      <c r="B204" s="79"/>
      <c r="C204" s="124" t="s">
        <v>126</v>
      </c>
      <c r="D204" s="81" t="s">
        <v>179</v>
      </c>
      <c r="E204" s="87">
        <v>2006</v>
      </c>
      <c r="F204" s="132">
        <v>0</v>
      </c>
      <c r="G204" s="132">
        <v>31.647099999999991</v>
      </c>
      <c r="H204" s="132">
        <v>153.39160000000004</v>
      </c>
      <c r="I204" s="132">
        <v>70.791399999999996</v>
      </c>
      <c r="J204" s="132">
        <v>691.15369999999996</v>
      </c>
      <c r="K204" s="132">
        <v>1858.1730000000005</v>
      </c>
      <c r="L204" s="132">
        <v>88.771299999999997</v>
      </c>
      <c r="M204" s="132">
        <v>37.4681</v>
      </c>
      <c r="N204" s="132">
        <v>90.234100000000012</v>
      </c>
      <c r="O204" s="132">
        <v>10.108599999999999</v>
      </c>
      <c r="P204" s="132">
        <v>3031.7389000000016</v>
      </c>
      <c r="Q204" s="97">
        <f t="shared" si="11"/>
        <v>10.108599999999999</v>
      </c>
      <c r="R204" s="97">
        <f t="shared" si="12"/>
        <v>216.4735</v>
      </c>
      <c r="S204" s="84">
        <f t="shared" si="14"/>
        <v>2805.1568000000007</v>
      </c>
      <c r="T204" s="64">
        <f t="shared" si="13"/>
        <v>3555.6633000000006</v>
      </c>
    </row>
    <row r="205" spans="2:20" hidden="1">
      <c r="B205" s="79"/>
      <c r="C205" s="124" t="s">
        <v>126</v>
      </c>
      <c r="D205" s="81" t="s">
        <v>179</v>
      </c>
      <c r="E205" s="87">
        <v>2007</v>
      </c>
      <c r="F205" s="132">
        <v>0</v>
      </c>
      <c r="G205" s="132">
        <v>2.1028000000000002</v>
      </c>
      <c r="H205" s="132">
        <v>118.34119999999999</v>
      </c>
      <c r="I205" s="132">
        <v>61.083199999999998</v>
      </c>
      <c r="J205" s="132">
        <v>534.74750000000006</v>
      </c>
      <c r="K205" s="132">
        <v>1746.4206000000006</v>
      </c>
      <c r="L205" s="132">
        <v>144.04049999999998</v>
      </c>
      <c r="M205" s="132">
        <v>82.338399999999993</v>
      </c>
      <c r="N205" s="132">
        <v>116.375</v>
      </c>
      <c r="O205" s="132">
        <v>20.9268</v>
      </c>
      <c r="P205" s="132">
        <v>2826.3759999999988</v>
      </c>
      <c r="Q205" s="97">
        <f t="shared" si="11"/>
        <v>20.9268</v>
      </c>
      <c r="R205" s="97">
        <f t="shared" si="12"/>
        <v>342.75389999999999</v>
      </c>
      <c r="S205" s="84">
        <f t="shared" si="14"/>
        <v>2462.6953000000008</v>
      </c>
      <c r="T205" s="64">
        <f t="shared" si="13"/>
        <v>3700.2250000000008</v>
      </c>
    </row>
    <row r="206" spans="2:20" hidden="1">
      <c r="B206" s="79"/>
      <c r="C206" s="124" t="s">
        <v>126</v>
      </c>
      <c r="D206" s="81" t="s">
        <v>179</v>
      </c>
      <c r="E206" s="87">
        <v>2008</v>
      </c>
      <c r="F206" s="132">
        <v>0</v>
      </c>
      <c r="G206" s="132">
        <v>0.249</v>
      </c>
      <c r="H206" s="132">
        <v>148.23439999999999</v>
      </c>
      <c r="I206" s="132">
        <v>45.5</v>
      </c>
      <c r="J206" s="132">
        <v>411.75709999999987</v>
      </c>
      <c r="K206" s="132">
        <v>1546.0152999999998</v>
      </c>
      <c r="L206" s="132">
        <v>164.5009</v>
      </c>
      <c r="M206" s="132">
        <v>130.58329999999998</v>
      </c>
      <c r="N206" s="132">
        <v>174.53299999999999</v>
      </c>
      <c r="O206" s="132">
        <v>30.828700000000001</v>
      </c>
      <c r="P206" s="132">
        <v>2652.2016999999992</v>
      </c>
      <c r="Q206" s="97">
        <f t="shared" si="11"/>
        <v>30.828700000000001</v>
      </c>
      <c r="R206" s="97">
        <f t="shared" si="12"/>
        <v>469.61720000000003</v>
      </c>
      <c r="S206" s="84">
        <f t="shared" si="14"/>
        <v>2151.7557999999999</v>
      </c>
      <c r="T206" s="64">
        <f t="shared" si="13"/>
        <v>3868.8944000000001</v>
      </c>
    </row>
    <row r="207" spans="2:20" hidden="1">
      <c r="B207" s="79"/>
      <c r="C207" s="124" t="s">
        <v>126</v>
      </c>
      <c r="D207" s="81" t="s">
        <v>179</v>
      </c>
      <c r="E207" s="87">
        <v>2009</v>
      </c>
      <c r="F207" s="132">
        <v>0</v>
      </c>
      <c r="G207" s="132">
        <v>0</v>
      </c>
      <c r="H207" s="132">
        <v>209.71120000000002</v>
      </c>
      <c r="I207" s="132">
        <v>61.377399999999994</v>
      </c>
      <c r="J207" s="132">
        <v>366.61229999999995</v>
      </c>
      <c r="K207" s="132">
        <v>1529.2744999999993</v>
      </c>
      <c r="L207" s="132">
        <v>200.41280000000003</v>
      </c>
      <c r="M207" s="132">
        <v>219.6678</v>
      </c>
      <c r="N207" s="132">
        <v>198.38510000000002</v>
      </c>
      <c r="O207" s="132">
        <v>56.277500000000003</v>
      </c>
      <c r="P207" s="132">
        <v>2841.7185999999992</v>
      </c>
      <c r="Q207" s="97">
        <f t="shared" si="11"/>
        <v>56.277500000000003</v>
      </c>
      <c r="R207" s="97">
        <f t="shared" si="12"/>
        <v>618.46569999999997</v>
      </c>
      <c r="S207" s="84">
        <f t="shared" si="14"/>
        <v>2166.9753999999994</v>
      </c>
      <c r="T207" s="64">
        <f t="shared" si="13"/>
        <v>4585.1474999999991</v>
      </c>
    </row>
    <row r="208" spans="2:20" hidden="1">
      <c r="B208" s="79"/>
      <c r="C208" s="124" t="s">
        <v>126</v>
      </c>
      <c r="D208" s="81" t="s">
        <v>179</v>
      </c>
      <c r="E208" s="87">
        <v>2010</v>
      </c>
      <c r="F208" s="132">
        <v>0</v>
      </c>
      <c r="G208" s="132">
        <v>0</v>
      </c>
      <c r="H208" s="132">
        <v>271.88740000000001</v>
      </c>
      <c r="I208" s="132">
        <v>55.0625</v>
      </c>
      <c r="J208" s="132">
        <v>299.79149999999998</v>
      </c>
      <c r="K208" s="132">
        <v>1722.9551999999996</v>
      </c>
      <c r="L208" s="132">
        <v>171.0446</v>
      </c>
      <c r="M208" s="132">
        <v>264.01329999999996</v>
      </c>
      <c r="N208" s="132">
        <v>234.41820000000001</v>
      </c>
      <c r="O208" s="132">
        <v>95.187899999999999</v>
      </c>
      <c r="P208" s="132">
        <v>3114.3605999999995</v>
      </c>
      <c r="Q208" s="97">
        <f t="shared" si="11"/>
        <v>95.187899999999999</v>
      </c>
      <c r="R208" s="97">
        <f t="shared" si="12"/>
        <v>669.47609999999997</v>
      </c>
      <c r="S208" s="84">
        <f t="shared" si="14"/>
        <v>2349.6965999999998</v>
      </c>
      <c r="T208" s="64">
        <f t="shared" si="13"/>
        <v>5310.0038999999997</v>
      </c>
    </row>
    <row r="209" spans="2:20" hidden="1">
      <c r="B209" s="79"/>
      <c r="C209" s="124" t="s">
        <v>126</v>
      </c>
      <c r="D209" s="81" t="s">
        <v>179</v>
      </c>
      <c r="E209" s="87">
        <v>2011</v>
      </c>
      <c r="F209" s="132">
        <v>0</v>
      </c>
      <c r="G209" s="132">
        <v>0</v>
      </c>
      <c r="H209" s="132">
        <v>220.34139999999999</v>
      </c>
      <c r="I209" s="132">
        <v>73</v>
      </c>
      <c r="J209" s="132">
        <v>204.35069999999996</v>
      </c>
      <c r="K209" s="132">
        <v>1823.5282000000002</v>
      </c>
      <c r="L209" s="132">
        <v>138.91700000000003</v>
      </c>
      <c r="M209" s="132">
        <v>192.26700000000002</v>
      </c>
      <c r="N209" s="132">
        <v>248.423</v>
      </c>
      <c r="O209" s="132">
        <v>110.67469999999999</v>
      </c>
      <c r="P209" s="132">
        <v>3011.501999999999</v>
      </c>
      <c r="Q209" s="97">
        <f t="shared" si="11"/>
        <v>110.67469999999999</v>
      </c>
      <c r="R209" s="97">
        <f t="shared" si="12"/>
        <v>579.60700000000008</v>
      </c>
      <c r="S209" s="84">
        <f t="shared" si="14"/>
        <v>2321.2203</v>
      </c>
      <c r="T209" s="64">
        <f t="shared" si="13"/>
        <v>5166.7883000000002</v>
      </c>
    </row>
    <row r="210" spans="2:20" hidden="1">
      <c r="B210" s="79"/>
      <c r="C210" s="124" t="s">
        <v>126</v>
      </c>
      <c r="D210" s="81" t="s">
        <v>179</v>
      </c>
      <c r="E210" s="82">
        <v>2012</v>
      </c>
      <c r="F210" s="133">
        <v>0</v>
      </c>
      <c r="G210" s="133">
        <v>0</v>
      </c>
      <c r="H210" s="133">
        <v>190.83680000000001</v>
      </c>
      <c r="I210" s="133">
        <v>76.375</v>
      </c>
      <c r="J210" s="133">
        <v>144.8896</v>
      </c>
      <c r="K210" s="133">
        <v>1934.2341999999987</v>
      </c>
      <c r="L210" s="133">
        <v>108.37479999999999</v>
      </c>
      <c r="M210" s="133">
        <v>203.9365</v>
      </c>
      <c r="N210" s="133">
        <v>350.36700000000002</v>
      </c>
      <c r="O210" s="133">
        <v>121.32289999999999</v>
      </c>
      <c r="P210" s="133">
        <v>3130.3368000000009</v>
      </c>
      <c r="Q210" s="97">
        <f t="shared" si="11"/>
        <v>121.32289999999999</v>
      </c>
      <c r="R210" s="97">
        <f t="shared" si="12"/>
        <v>662.67830000000004</v>
      </c>
      <c r="S210" s="84">
        <f t="shared" si="14"/>
        <v>2346.3355999999985</v>
      </c>
      <c r="T210" s="64">
        <f t="shared" si="13"/>
        <v>5547.5994999999984</v>
      </c>
    </row>
    <row r="211" spans="2:20" hidden="1">
      <c r="B211" s="79"/>
      <c r="C211" s="124" t="s">
        <v>126</v>
      </c>
      <c r="D211" s="77" t="s">
        <v>119</v>
      </c>
      <c r="E211" s="87">
        <v>2005</v>
      </c>
      <c r="F211" s="132">
        <v>0</v>
      </c>
      <c r="G211" s="132">
        <v>425.25860000000023</v>
      </c>
      <c r="H211" s="132">
        <v>913.46669999999983</v>
      </c>
      <c r="I211" s="132">
        <v>740.07010000000014</v>
      </c>
      <c r="J211" s="132">
        <v>3963.5196000000024</v>
      </c>
      <c r="K211" s="132">
        <v>7767.3890000000029</v>
      </c>
      <c r="L211" s="132">
        <v>439.88710000000003</v>
      </c>
      <c r="M211" s="132">
        <v>141.41500000000002</v>
      </c>
      <c r="N211" s="132">
        <v>566.47180000000014</v>
      </c>
      <c r="O211" s="132">
        <v>127.5929</v>
      </c>
      <c r="P211" s="132">
        <v>15085.070799999969</v>
      </c>
      <c r="Q211" s="97">
        <f t="shared" si="11"/>
        <v>127.5929</v>
      </c>
      <c r="R211" s="97">
        <f t="shared" si="12"/>
        <v>1147.7739000000001</v>
      </c>
      <c r="S211" s="84">
        <f t="shared" si="14"/>
        <v>13809.704000000005</v>
      </c>
      <c r="T211" s="64">
        <f t="shared" si="13"/>
        <v>18528.954700000006</v>
      </c>
    </row>
    <row r="212" spans="2:20" hidden="1">
      <c r="B212" s="79"/>
      <c r="C212" s="124" t="s">
        <v>126</v>
      </c>
      <c r="D212" s="81" t="s">
        <v>119</v>
      </c>
      <c r="E212" s="87">
        <v>2006</v>
      </c>
      <c r="F212" s="132">
        <v>0</v>
      </c>
      <c r="G212" s="132">
        <v>359.38430000000022</v>
      </c>
      <c r="H212" s="132">
        <v>728.05099999999993</v>
      </c>
      <c r="I212" s="132">
        <v>740.47919999999988</v>
      </c>
      <c r="J212" s="132">
        <v>3656.4133000000002</v>
      </c>
      <c r="K212" s="132">
        <v>8476.1528000000035</v>
      </c>
      <c r="L212" s="132">
        <v>480.50739999999996</v>
      </c>
      <c r="M212" s="132">
        <v>223.16829999999999</v>
      </c>
      <c r="N212" s="132">
        <v>533.33339999999998</v>
      </c>
      <c r="O212" s="132">
        <v>146.49619999999999</v>
      </c>
      <c r="P212" s="132">
        <v>15343.985899999983</v>
      </c>
      <c r="Q212" s="97">
        <f t="shared" si="11"/>
        <v>146.49619999999999</v>
      </c>
      <c r="R212" s="97">
        <f t="shared" si="12"/>
        <v>1237.0091</v>
      </c>
      <c r="S212" s="84">
        <f t="shared" si="14"/>
        <v>13960.480600000003</v>
      </c>
      <c r="T212" s="64">
        <f t="shared" si="13"/>
        <v>19136.469900000004</v>
      </c>
    </row>
    <row r="213" spans="2:20" hidden="1">
      <c r="B213" s="79"/>
      <c r="C213" s="124" t="s">
        <v>126</v>
      </c>
      <c r="D213" s="81" t="s">
        <v>119</v>
      </c>
      <c r="E213" s="87">
        <v>2007</v>
      </c>
      <c r="F213" s="132">
        <v>0</v>
      </c>
      <c r="G213" s="132">
        <v>169.70310000000003</v>
      </c>
      <c r="H213" s="132">
        <v>496.39999999999986</v>
      </c>
      <c r="I213" s="132">
        <v>783.20789999999977</v>
      </c>
      <c r="J213" s="132">
        <v>3680.7367999999979</v>
      </c>
      <c r="K213" s="132">
        <v>9205.9245000000046</v>
      </c>
      <c r="L213" s="132">
        <v>545.97230000000002</v>
      </c>
      <c r="M213" s="132">
        <v>314.98629999999997</v>
      </c>
      <c r="N213" s="132">
        <v>581.80650000000003</v>
      </c>
      <c r="O213" s="132">
        <v>166.79090000000002</v>
      </c>
      <c r="P213" s="132">
        <v>15945.528299999994</v>
      </c>
      <c r="Q213" s="97">
        <f t="shared" si="11"/>
        <v>166.79090000000002</v>
      </c>
      <c r="R213" s="97">
        <f t="shared" si="12"/>
        <v>1442.7651000000001</v>
      </c>
      <c r="S213" s="84">
        <f t="shared" si="14"/>
        <v>14335.972300000001</v>
      </c>
      <c r="T213" s="64">
        <f t="shared" si="13"/>
        <v>20332.176599999999</v>
      </c>
    </row>
    <row r="214" spans="2:20">
      <c r="B214" s="79"/>
      <c r="C214" s="127" t="s">
        <v>126</v>
      </c>
      <c r="D214" s="128" t="s">
        <v>119</v>
      </c>
      <c r="E214" s="129">
        <v>2006</v>
      </c>
      <c r="F214" s="134">
        <v>23.330799999999993</v>
      </c>
      <c r="G214" s="134">
        <v>223.00930000000002</v>
      </c>
      <c r="H214" s="134">
        <v>841.09519999999998</v>
      </c>
      <c r="I214" s="134">
        <v>740.47919999999999</v>
      </c>
      <c r="J214" s="134">
        <v>3656.4133000000002</v>
      </c>
      <c r="K214" s="134">
        <v>8476.1528000000017</v>
      </c>
      <c r="L214" s="134">
        <v>480.50740000000002</v>
      </c>
      <c r="M214" s="134">
        <v>223.16829999999999</v>
      </c>
      <c r="N214" s="134">
        <v>533.33339999999987</v>
      </c>
      <c r="O214" s="134">
        <v>146.49619999999996</v>
      </c>
      <c r="P214" s="134">
        <v>15343.985899999981</v>
      </c>
      <c r="Q214" s="130">
        <f t="shared" si="11"/>
        <v>146.49619999999996</v>
      </c>
      <c r="R214" s="130">
        <f t="shared" si="12"/>
        <v>1237.0090999999998</v>
      </c>
      <c r="S214" s="130">
        <f t="shared" si="14"/>
        <v>13960.480600000003</v>
      </c>
      <c r="T214" s="131">
        <f t="shared" si="13"/>
        <v>19136.469900000004</v>
      </c>
    </row>
    <row r="215" spans="2:20">
      <c r="B215" s="79"/>
      <c r="C215" s="127" t="s">
        <v>126</v>
      </c>
      <c r="D215" s="128" t="s">
        <v>119</v>
      </c>
      <c r="E215" s="129">
        <v>2007</v>
      </c>
      <c r="F215" s="134">
        <v>0.125</v>
      </c>
      <c r="G215" s="134">
        <v>49.703100000000013</v>
      </c>
      <c r="H215" s="134">
        <v>616.27499999999998</v>
      </c>
      <c r="I215" s="134">
        <v>783.20789999999988</v>
      </c>
      <c r="J215" s="134">
        <v>3680.7367999999969</v>
      </c>
      <c r="K215" s="134">
        <v>9205.9245000000083</v>
      </c>
      <c r="L215" s="134">
        <v>545.9722999999999</v>
      </c>
      <c r="M215" s="134">
        <v>314.98630000000003</v>
      </c>
      <c r="N215" s="134">
        <v>581.80650000000014</v>
      </c>
      <c r="O215" s="134">
        <v>166.79089999999999</v>
      </c>
      <c r="P215" s="134">
        <v>15945.528299999996</v>
      </c>
      <c r="Q215" s="130">
        <f t="shared" si="11"/>
        <v>166.79089999999999</v>
      </c>
      <c r="R215" s="130">
        <f t="shared" si="12"/>
        <v>1442.7651000000001</v>
      </c>
      <c r="S215" s="130">
        <f t="shared" si="14"/>
        <v>14335.972300000005</v>
      </c>
      <c r="T215" s="131">
        <f t="shared" si="13"/>
        <v>20332.176600000006</v>
      </c>
    </row>
    <row r="216" spans="2:20" s="125" customFormat="1">
      <c r="B216" s="126"/>
      <c r="C216" s="127" t="s">
        <v>126</v>
      </c>
      <c r="D216" s="128" t="s">
        <v>119</v>
      </c>
      <c r="E216" s="129">
        <v>2008</v>
      </c>
      <c r="F216" s="134">
        <v>0</v>
      </c>
      <c r="G216" s="134">
        <v>137.90099999999998</v>
      </c>
      <c r="H216" s="134">
        <v>635.36079999999993</v>
      </c>
      <c r="I216" s="134">
        <v>626.77379999999982</v>
      </c>
      <c r="J216" s="134">
        <v>3085.8308999999967</v>
      </c>
      <c r="K216" s="134">
        <v>9792.3733000000047</v>
      </c>
      <c r="L216" s="134">
        <v>568.08249999999998</v>
      </c>
      <c r="M216" s="134">
        <v>616.53129999999999</v>
      </c>
      <c r="N216" s="134">
        <v>698.69550000000004</v>
      </c>
      <c r="O216" s="134">
        <v>185.16529999999997</v>
      </c>
      <c r="P216" s="134">
        <v>16346.714400000001</v>
      </c>
      <c r="Q216" s="130">
        <f t="shared" si="11"/>
        <v>185.16529999999997</v>
      </c>
      <c r="R216" s="130">
        <f t="shared" si="12"/>
        <v>1883.3093000000001</v>
      </c>
      <c r="S216" s="130">
        <f t="shared" si="14"/>
        <v>14278.239800000001</v>
      </c>
      <c r="T216" s="131">
        <f t="shared" si="13"/>
        <v>21779.820700000004</v>
      </c>
    </row>
    <row r="217" spans="2:20" s="125" customFormat="1">
      <c r="B217" s="126"/>
      <c r="C217" s="127" t="s">
        <v>126</v>
      </c>
      <c r="D217" s="128" t="s">
        <v>119</v>
      </c>
      <c r="E217" s="129">
        <v>2009</v>
      </c>
      <c r="F217" s="134">
        <v>0</v>
      </c>
      <c r="G217" s="134">
        <v>56.158000000000001</v>
      </c>
      <c r="H217" s="134">
        <v>531.35400000000004</v>
      </c>
      <c r="I217" s="134">
        <v>740.82579999999996</v>
      </c>
      <c r="J217" s="134">
        <v>2573.5889999999999</v>
      </c>
      <c r="K217" s="134">
        <v>11146.557000000003</v>
      </c>
      <c r="L217" s="134">
        <v>701.7627</v>
      </c>
      <c r="M217" s="134">
        <v>892.63830000000007</v>
      </c>
      <c r="N217" s="134">
        <v>811.57510000000002</v>
      </c>
      <c r="O217" s="134">
        <v>238.4486</v>
      </c>
      <c r="P217" s="134">
        <v>17692.908500000009</v>
      </c>
      <c r="Q217" s="130">
        <f t="shared" si="11"/>
        <v>238.4486</v>
      </c>
      <c r="R217" s="130">
        <f t="shared" si="12"/>
        <v>2405.9760999999999</v>
      </c>
      <c r="S217" s="130">
        <f t="shared" si="14"/>
        <v>15048.483800000002</v>
      </c>
      <c r="T217" s="131">
        <f t="shared" si="13"/>
        <v>24650.898100000002</v>
      </c>
    </row>
    <row r="218" spans="2:20" s="125" customFormat="1">
      <c r="B218" s="126"/>
      <c r="C218" s="127" t="s">
        <v>126</v>
      </c>
      <c r="D218" s="128" t="s">
        <v>119</v>
      </c>
      <c r="E218" s="129">
        <v>2010</v>
      </c>
      <c r="F218" s="134">
        <v>0</v>
      </c>
      <c r="G218" s="134">
        <v>96.5</v>
      </c>
      <c r="H218" s="134">
        <v>613.22719999999993</v>
      </c>
      <c r="I218" s="134">
        <v>557.87030000000004</v>
      </c>
      <c r="J218" s="134">
        <v>2212.5344999999988</v>
      </c>
      <c r="K218" s="134">
        <v>12285.887299999995</v>
      </c>
      <c r="L218" s="134">
        <v>665.32359999999994</v>
      </c>
      <c r="M218" s="134">
        <v>1056.3569999999997</v>
      </c>
      <c r="N218" s="134">
        <v>900.96719999999982</v>
      </c>
      <c r="O218" s="134">
        <v>298.80590000000001</v>
      </c>
      <c r="P218" s="134">
        <v>18687.472999999998</v>
      </c>
      <c r="Q218" s="130">
        <f t="shared" si="11"/>
        <v>298.80590000000001</v>
      </c>
      <c r="R218" s="130">
        <f t="shared" si="12"/>
        <v>2622.6477999999997</v>
      </c>
      <c r="S218" s="130">
        <f t="shared" si="14"/>
        <v>15766.019299999993</v>
      </c>
      <c r="T218" s="131">
        <f t="shared" si="13"/>
        <v>26622.02169999999</v>
      </c>
    </row>
    <row r="219" spans="2:20" s="125" customFormat="1">
      <c r="B219" s="126"/>
      <c r="C219" s="127" t="s">
        <v>126</v>
      </c>
      <c r="D219" s="128" t="s">
        <v>119</v>
      </c>
      <c r="E219" s="129">
        <v>2011</v>
      </c>
      <c r="F219" s="134">
        <v>0</v>
      </c>
      <c r="G219" s="134">
        <v>94.5</v>
      </c>
      <c r="H219" s="134">
        <v>367.11880000000002</v>
      </c>
      <c r="I219" s="134">
        <v>658.86899999999991</v>
      </c>
      <c r="J219" s="134">
        <v>1557.6478</v>
      </c>
      <c r="K219" s="134">
        <v>12750.702500000003</v>
      </c>
      <c r="L219" s="134">
        <v>578.85199999999998</v>
      </c>
      <c r="M219" s="134">
        <v>960.93180000000018</v>
      </c>
      <c r="N219" s="134">
        <v>878.41160000000002</v>
      </c>
      <c r="O219" s="134">
        <v>349.79100000000005</v>
      </c>
      <c r="P219" s="134">
        <v>18196.82450000001</v>
      </c>
      <c r="Q219" s="130">
        <f t="shared" si="11"/>
        <v>349.79100000000005</v>
      </c>
      <c r="R219" s="130">
        <f t="shared" si="12"/>
        <v>2418.1954000000001</v>
      </c>
      <c r="S219" s="130">
        <f t="shared" si="14"/>
        <v>15428.838100000003</v>
      </c>
      <c r="T219" s="131">
        <f t="shared" si="13"/>
        <v>26181.334300000002</v>
      </c>
    </row>
    <row r="220" spans="2:20" s="125" customFormat="1">
      <c r="B220" s="126"/>
      <c r="C220" s="535" t="s">
        <v>126</v>
      </c>
      <c r="D220" s="128" t="s">
        <v>119</v>
      </c>
      <c r="E220" s="129">
        <v>2012</v>
      </c>
      <c r="F220" s="134">
        <v>0</v>
      </c>
      <c r="G220" s="134">
        <v>24</v>
      </c>
      <c r="H220" s="134">
        <v>312.63830000000002</v>
      </c>
      <c r="I220" s="134">
        <v>632.65599999999995</v>
      </c>
      <c r="J220" s="134">
        <v>1358.0767000000001</v>
      </c>
      <c r="K220" s="134">
        <v>13571.27710000001</v>
      </c>
      <c r="L220" s="134">
        <v>527.41290000000004</v>
      </c>
      <c r="M220" s="134">
        <v>1029.6556</v>
      </c>
      <c r="N220" s="134">
        <v>958.11849999999981</v>
      </c>
      <c r="O220" s="134">
        <v>351.90569999999997</v>
      </c>
      <c r="P220" s="134">
        <v>18765.740800000014</v>
      </c>
      <c r="Q220" s="130">
        <f>O220</f>
        <v>351.90569999999997</v>
      </c>
      <c r="R220" s="130">
        <f t="shared" ref="R220:R240" si="15">SUM(L220:N220)</f>
        <v>2515.1869999999999</v>
      </c>
      <c r="S220" s="130">
        <f t="shared" si="14"/>
        <v>15898.648100000009</v>
      </c>
      <c r="T220" s="131">
        <f t="shared" si="13"/>
        <v>26963.266100000008</v>
      </c>
    </row>
    <row r="221" spans="2:20" s="125" customFormat="1">
      <c r="C221" s="127" t="s">
        <v>126</v>
      </c>
      <c r="D221" s="536" t="s">
        <v>119</v>
      </c>
      <c r="E221" s="528">
        <v>2013</v>
      </c>
      <c r="F221" s="529">
        <v>0</v>
      </c>
      <c r="G221" s="529">
        <v>0</v>
      </c>
      <c r="H221" s="529">
        <v>373.54270000000008</v>
      </c>
      <c r="I221" s="529">
        <v>660.82100000000003</v>
      </c>
      <c r="J221" s="529">
        <v>965.38469999999995</v>
      </c>
      <c r="K221" s="529">
        <v>13852.435299999999</v>
      </c>
      <c r="L221" s="529">
        <v>482.96289999999988</v>
      </c>
      <c r="M221" s="529">
        <v>1089.7790999999997</v>
      </c>
      <c r="N221" s="529">
        <v>996.3847999999997</v>
      </c>
      <c r="O221" s="529">
        <v>416.1191</v>
      </c>
      <c r="P221" s="529">
        <v>18837.429599999999</v>
      </c>
      <c r="Q221" s="530">
        <f>O221</f>
        <v>416.1191</v>
      </c>
      <c r="R221" s="530">
        <f t="shared" si="15"/>
        <v>2569.1267999999995</v>
      </c>
      <c r="S221" s="530">
        <f t="shared" si="14"/>
        <v>15852.1837</v>
      </c>
      <c r="T221" s="531">
        <f t="shared" si="13"/>
        <v>27720.755099999995</v>
      </c>
    </row>
    <row r="222" spans="2:20" hidden="1">
      <c r="B222" s="79"/>
      <c r="C222" s="124" t="s">
        <v>119</v>
      </c>
      <c r="D222" s="77" t="s">
        <v>179</v>
      </c>
      <c r="E222" s="87">
        <v>2005</v>
      </c>
      <c r="F222" s="132">
        <v>26.865200000000002</v>
      </c>
      <c r="G222" s="132">
        <v>385.15270000000038</v>
      </c>
      <c r="H222" s="132">
        <v>769.83350000000007</v>
      </c>
      <c r="I222" s="132">
        <v>1843.1283999999994</v>
      </c>
      <c r="J222" s="132">
        <v>4740.1637000000037</v>
      </c>
      <c r="K222" s="132">
        <v>71335.84280000026</v>
      </c>
      <c r="L222" s="132">
        <v>4176.0377999999973</v>
      </c>
      <c r="M222" s="132">
        <v>10545.408599999981</v>
      </c>
      <c r="N222" s="132">
        <v>5771.4998999999953</v>
      </c>
      <c r="O222" s="132">
        <v>3400.2830999999992</v>
      </c>
      <c r="P222" s="132">
        <v>102994.21570000016</v>
      </c>
      <c r="R222" s="97">
        <f t="shared" si="15"/>
        <v>20492.946299999974</v>
      </c>
    </row>
    <row r="223" spans="2:20" hidden="1">
      <c r="B223" s="79"/>
      <c r="C223" s="124" t="s">
        <v>119</v>
      </c>
      <c r="D223" s="81" t="s">
        <v>180</v>
      </c>
      <c r="E223" s="87">
        <v>2006</v>
      </c>
      <c r="F223" s="132">
        <v>2.1435</v>
      </c>
      <c r="G223" s="132">
        <v>330.14200000000011</v>
      </c>
      <c r="H223" s="132">
        <v>635.48139999999978</v>
      </c>
      <c r="I223" s="132">
        <v>2024.8843999999997</v>
      </c>
      <c r="J223" s="132">
        <v>4512.2398000000012</v>
      </c>
      <c r="K223" s="132">
        <v>71571.760999999664</v>
      </c>
      <c r="L223" s="132">
        <v>3991.1383999999989</v>
      </c>
      <c r="M223" s="132">
        <v>10983.296399999996</v>
      </c>
      <c r="N223" s="132">
        <v>5228.3697999999977</v>
      </c>
      <c r="O223" s="132">
        <v>3511.3305000000009</v>
      </c>
      <c r="P223" s="132">
        <v>102790.78719999948</v>
      </c>
      <c r="R223" s="97">
        <f t="shared" si="15"/>
        <v>20202.804599999992</v>
      </c>
    </row>
    <row r="224" spans="2:20" hidden="1">
      <c r="B224" s="79"/>
      <c r="C224" s="124" t="s">
        <v>119</v>
      </c>
      <c r="D224" s="81" t="s">
        <v>180</v>
      </c>
      <c r="E224" s="87">
        <v>2007</v>
      </c>
      <c r="F224" s="132">
        <v>1.1432</v>
      </c>
      <c r="G224" s="132">
        <v>167.60030000000003</v>
      </c>
      <c r="H224" s="132">
        <v>442.4387999999999</v>
      </c>
      <c r="I224" s="132">
        <v>2051.5199000000007</v>
      </c>
      <c r="J224" s="132">
        <v>4900.9632999999949</v>
      </c>
      <c r="K224" s="132">
        <v>76462.403899999685</v>
      </c>
      <c r="L224" s="132">
        <v>4615.9739999999993</v>
      </c>
      <c r="M224" s="132">
        <v>11433.996400000011</v>
      </c>
      <c r="N224" s="132">
        <v>5217.6519999999982</v>
      </c>
      <c r="O224" s="132">
        <v>3751.652</v>
      </c>
      <c r="P224" s="132">
        <v>109045.34379999975</v>
      </c>
      <c r="R224" s="97">
        <f t="shared" si="15"/>
        <v>21267.622400000007</v>
      </c>
    </row>
    <row r="225" spans="2:18" hidden="1">
      <c r="B225" s="79"/>
      <c r="C225" s="124" t="s">
        <v>119</v>
      </c>
      <c r="D225" s="81" t="s">
        <v>180</v>
      </c>
      <c r="E225" s="87">
        <v>2008</v>
      </c>
      <c r="F225" s="132">
        <v>0</v>
      </c>
      <c r="G225" s="132">
        <v>137.65199999999999</v>
      </c>
      <c r="H225" s="132">
        <v>536.14139999999998</v>
      </c>
      <c r="I225" s="132">
        <v>1816.3384000000001</v>
      </c>
      <c r="J225" s="132">
        <v>4212.1744999999964</v>
      </c>
      <c r="K225" s="132">
        <v>78017.854999999443</v>
      </c>
      <c r="L225" s="132">
        <v>4452.495899999999</v>
      </c>
      <c r="M225" s="132">
        <v>11803.984700000012</v>
      </c>
      <c r="N225" s="132">
        <v>5187.9604999999974</v>
      </c>
      <c r="O225" s="132">
        <v>3744.1118000000006</v>
      </c>
      <c r="P225" s="132">
        <v>109908.71419999922</v>
      </c>
      <c r="R225" s="97">
        <f t="shared" si="15"/>
        <v>21444.441100000007</v>
      </c>
    </row>
    <row r="226" spans="2:18" hidden="1">
      <c r="B226" s="79"/>
      <c r="C226" s="124" t="s">
        <v>119</v>
      </c>
      <c r="D226" s="81" t="s">
        <v>180</v>
      </c>
      <c r="E226" s="87">
        <v>2009</v>
      </c>
      <c r="F226" s="132">
        <v>0</v>
      </c>
      <c r="G226" s="132">
        <v>56.158000000000001</v>
      </c>
      <c r="H226" s="132">
        <v>389.75779999999992</v>
      </c>
      <c r="I226" s="132">
        <v>2215.6093999999994</v>
      </c>
      <c r="J226" s="132">
        <v>3794.6675999999993</v>
      </c>
      <c r="K226" s="132">
        <v>81824.061000000453</v>
      </c>
      <c r="L226" s="132">
        <v>5158.2511000000022</v>
      </c>
      <c r="M226" s="132">
        <v>13918.008500000016</v>
      </c>
      <c r="N226" s="132">
        <v>5531.973799999997</v>
      </c>
      <c r="O226" s="132">
        <v>3935.7307999999998</v>
      </c>
      <c r="P226" s="132">
        <v>116824.2179999998</v>
      </c>
      <c r="R226" s="97">
        <f t="shared" si="15"/>
        <v>24608.233400000016</v>
      </c>
    </row>
    <row r="227" spans="2:18" hidden="1">
      <c r="B227" s="79"/>
      <c r="C227" s="124" t="s">
        <v>119</v>
      </c>
      <c r="D227" s="81" t="s">
        <v>180</v>
      </c>
      <c r="E227" s="87">
        <v>2010</v>
      </c>
      <c r="F227" s="132">
        <v>0</v>
      </c>
      <c r="G227" s="132">
        <v>96.5</v>
      </c>
      <c r="H227" s="132">
        <v>343.85979999999989</v>
      </c>
      <c r="I227" s="132">
        <v>1719.1805000000006</v>
      </c>
      <c r="J227" s="132">
        <v>3412.6679999999988</v>
      </c>
      <c r="K227" s="132">
        <v>83934.198999999775</v>
      </c>
      <c r="L227" s="132">
        <v>5167.8843000000043</v>
      </c>
      <c r="M227" s="132">
        <v>14773.154200000021</v>
      </c>
      <c r="N227" s="132">
        <v>5851.717099999998</v>
      </c>
      <c r="O227" s="132">
        <v>3891.0713999999971</v>
      </c>
      <c r="P227" s="132">
        <v>119190.23430000048</v>
      </c>
      <c r="R227" s="97">
        <f t="shared" si="15"/>
        <v>25792.755600000022</v>
      </c>
    </row>
    <row r="228" spans="2:18" hidden="1">
      <c r="B228" s="79"/>
      <c r="C228" s="124" t="s">
        <v>119</v>
      </c>
      <c r="D228" s="81" t="s">
        <v>180</v>
      </c>
      <c r="E228" s="87">
        <v>2011</v>
      </c>
      <c r="F228" s="132">
        <v>4.2773999999999992</v>
      </c>
      <c r="G228" s="132">
        <v>593.62439999999992</v>
      </c>
      <c r="H228" s="132">
        <v>453.81180000000001</v>
      </c>
      <c r="I228" s="132">
        <v>1371.6712</v>
      </c>
      <c r="J228" s="132">
        <v>2713.9643000000024</v>
      </c>
      <c r="K228" s="132">
        <v>82302.966399999903</v>
      </c>
      <c r="L228" s="132">
        <v>4441.0724000000027</v>
      </c>
      <c r="M228" s="132">
        <v>14097.590500000015</v>
      </c>
      <c r="N228" s="132">
        <v>5948.722099999999</v>
      </c>
      <c r="O228" s="132">
        <v>3825.2000000000007</v>
      </c>
      <c r="P228" s="132">
        <v>115752.90050000027</v>
      </c>
      <c r="R228" s="97">
        <f t="shared" si="15"/>
        <v>24487.385000000017</v>
      </c>
    </row>
    <row r="229" spans="2:18" hidden="1">
      <c r="B229" s="79"/>
      <c r="C229" s="124" t="s">
        <v>119</v>
      </c>
      <c r="D229" s="81" t="s">
        <v>180</v>
      </c>
      <c r="E229" s="82">
        <v>2012</v>
      </c>
      <c r="F229" s="133">
        <v>0.754</v>
      </c>
      <c r="G229" s="133">
        <v>789.37580000000014</v>
      </c>
      <c r="H229" s="133">
        <v>457.44840000000011</v>
      </c>
      <c r="I229" s="133">
        <v>1274.9738</v>
      </c>
      <c r="J229" s="133">
        <v>2385.5737999999997</v>
      </c>
      <c r="K229" s="133">
        <v>83433.673600000009</v>
      </c>
      <c r="L229" s="133">
        <v>4218.1314000000029</v>
      </c>
      <c r="M229" s="133">
        <v>13870.876400000021</v>
      </c>
      <c r="N229" s="133">
        <v>5983.1083999999973</v>
      </c>
      <c r="O229" s="133">
        <v>3731.3538999999982</v>
      </c>
      <c r="P229" s="133">
        <v>116145.26949999989</v>
      </c>
      <c r="R229" s="97">
        <f t="shared" si="15"/>
        <v>24072.116200000022</v>
      </c>
    </row>
    <row r="230" spans="2:18" hidden="1">
      <c r="B230" s="79"/>
      <c r="C230" s="124" t="s">
        <v>119</v>
      </c>
      <c r="D230" s="77" t="s">
        <v>180</v>
      </c>
      <c r="E230" s="87">
        <v>2005</v>
      </c>
      <c r="F230" s="132">
        <v>0</v>
      </c>
      <c r="G230" s="132">
        <v>50.259500000000003</v>
      </c>
      <c r="H230" s="132">
        <v>420.49860000000001</v>
      </c>
      <c r="I230" s="132">
        <v>623.70089999999993</v>
      </c>
      <c r="J230" s="132">
        <v>1565.2690000000005</v>
      </c>
      <c r="K230" s="132">
        <v>17549.293900000142</v>
      </c>
      <c r="L230" s="132">
        <v>489.03580000000011</v>
      </c>
      <c r="M230" s="132">
        <v>1456.4122999999997</v>
      </c>
      <c r="N230" s="132">
        <v>1167.5217</v>
      </c>
      <c r="O230" s="132">
        <v>610.14189999999996</v>
      </c>
      <c r="P230" s="132">
        <v>23932.133600000248</v>
      </c>
      <c r="R230" s="97">
        <f t="shared" si="15"/>
        <v>3112.9697999999999</v>
      </c>
    </row>
    <row r="231" spans="2:18" hidden="1">
      <c r="B231" s="79"/>
      <c r="C231" s="124" t="s">
        <v>119</v>
      </c>
      <c r="D231" s="81" t="s">
        <v>179</v>
      </c>
      <c r="E231" s="87">
        <v>2006</v>
      </c>
      <c r="F231" s="132">
        <v>0</v>
      </c>
      <c r="G231" s="132">
        <v>31.647099999999998</v>
      </c>
      <c r="H231" s="132">
        <v>294.3116</v>
      </c>
      <c r="I231" s="132">
        <v>538.54409999999984</v>
      </c>
      <c r="J231" s="132">
        <v>865.96659999999997</v>
      </c>
      <c r="K231" s="132">
        <v>15475.54250000005</v>
      </c>
      <c r="L231" s="132">
        <v>413.49240000000003</v>
      </c>
      <c r="M231" s="132">
        <v>1413.7791000000002</v>
      </c>
      <c r="N231" s="132">
        <v>1005.5854</v>
      </c>
      <c r="O231" s="132">
        <v>886.57719999999983</v>
      </c>
      <c r="P231" s="132">
        <v>20925.446</v>
      </c>
      <c r="R231" s="97">
        <f t="shared" si="15"/>
        <v>2832.8569000000002</v>
      </c>
    </row>
    <row r="232" spans="2:18" hidden="1">
      <c r="B232" s="79"/>
      <c r="C232" s="124" t="s">
        <v>119</v>
      </c>
      <c r="D232" s="81" t="s">
        <v>179</v>
      </c>
      <c r="E232" s="87">
        <v>2007</v>
      </c>
      <c r="F232" s="132">
        <v>0</v>
      </c>
      <c r="G232" s="132">
        <v>2.1028000000000002</v>
      </c>
      <c r="H232" s="132">
        <v>299.78119999999984</v>
      </c>
      <c r="I232" s="132">
        <v>543.37140000000022</v>
      </c>
      <c r="J232" s="132">
        <v>595.11279999999999</v>
      </c>
      <c r="K232" s="132">
        <v>12384.652100000012</v>
      </c>
      <c r="L232" s="132">
        <v>515.9873</v>
      </c>
      <c r="M232" s="132">
        <v>1509.0724</v>
      </c>
      <c r="N232" s="132">
        <v>1025.0052000000001</v>
      </c>
      <c r="O232" s="132">
        <v>1289.9508999999991</v>
      </c>
      <c r="P232" s="132">
        <v>18165.03610000003</v>
      </c>
      <c r="R232" s="97">
        <f t="shared" si="15"/>
        <v>3050.0649000000003</v>
      </c>
    </row>
    <row r="233" spans="2:18" hidden="1">
      <c r="B233" s="79"/>
      <c r="C233" s="124" t="s">
        <v>119</v>
      </c>
      <c r="D233" s="81" t="s">
        <v>179</v>
      </c>
      <c r="E233" s="87">
        <v>2008</v>
      </c>
      <c r="F233" s="132">
        <v>0</v>
      </c>
      <c r="G233" s="132">
        <v>0.249</v>
      </c>
      <c r="H233" s="132">
        <v>480.51439999999991</v>
      </c>
      <c r="I233" s="132">
        <v>583.96749999999975</v>
      </c>
      <c r="J233" s="132">
        <v>450.86119999999994</v>
      </c>
      <c r="K233" s="132">
        <v>10139.09910000001</v>
      </c>
      <c r="L233" s="132">
        <v>541.33850000000007</v>
      </c>
      <c r="M233" s="132">
        <v>1461.8296000000007</v>
      </c>
      <c r="N233" s="132">
        <v>1128.8857000000007</v>
      </c>
      <c r="O233" s="132">
        <v>1666.3438999999996</v>
      </c>
      <c r="P233" s="132">
        <v>16453.088900000042</v>
      </c>
      <c r="R233" s="97">
        <f t="shared" si="15"/>
        <v>3132.0538000000015</v>
      </c>
    </row>
    <row r="234" spans="2:18" hidden="1">
      <c r="B234" s="79"/>
      <c r="C234" s="124" t="s">
        <v>119</v>
      </c>
      <c r="D234" s="81" t="s">
        <v>179</v>
      </c>
      <c r="E234" s="87">
        <v>2009</v>
      </c>
      <c r="F234" s="132">
        <v>0</v>
      </c>
      <c r="G234" s="132">
        <v>0</v>
      </c>
      <c r="H234" s="132">
        <v>527.95119999999974</v>
      </c>
      <c r="I234" s="132">
        <v>1104.9954</v>
      </c>
      <c r="J234" s="132">
        <v>404.35039999999998</v>
      </c>
      <c r="K234" s="132">
        <v>9605.5737999999965</v>
      </c>
      <c r="L234" s="132">
        <v>617.64679999999998</v>
      </c>
      <c r="M234" s="132">
        <v>1646.3278999999998</v>
      </c>
      <c r="N234" s="132">
        <v>1186.7778000000005</v>
      </c>
      <c r="O234" s="132">
        <v>2043.798900000002</v>
      </c>
      <c r="P234" s="132">
        <v>17137.422200000019</v>
      </c>
      <c r="R234" s="97">
        <f t="shared" si="15"/>
        <v>3450.7525000000005</v>
      </c>
    </row>
    <row r="235" spans="2:18" hidden="1">
      <c r="B235" s="79"/>
      <c r="C235" s="124" t="s">
        <v>119</v>
      </c>
      <c r="D235" s="81" t="s">
        <v>179</v>
      </c>
      <c r="E235" s="87">
        <v>2010</v>
      </c>
      <c r="F235" s="132">
        <v>0</v>
      </c>
      <c r="G235" s="132">
        <v>0</v>
      </c>
      <c r="H235" s="132">
        <v>538.46739999999988</v>
      </c>
      <c r="I235" s="132">
        <v>1077.8434999999999</v>
      </c>
      <c r="J235" s="132">
        <v>332.91700000000003</v>
      </c>
      <c r="K235" s="132">
        <v>9703.2313999999969</v>
      </c>
      <c r="L235" s="132">
        <v>583.51940000000002</v>
      </c>
      <c r="M235" s="132">
        <v>1705.3777999999998</v>
      </c>
      <c r="N235" s="132">
        <v>1286.4059000000002</v>
      </c>
      <c r="O235" s="132">
        <v>2311.2462999999984</v>
      </c>
      <c r="P235" s="132">
        <v>17539.008700000002</v>
      </c>
      <c r="R235" s="97">
        <f t="shared" si="15"/>
        <v>3575.3031000000001</v>
      </c>
    </row>
    <row r="236" spans="2:18" hidden="1">
      <c r="B236" s="79"/>
      <c r="C236" s="124" t="s">
        <v>119</v>
      </c>
      <c r="D236" s="81" t="s">
        <v>179</v>
      </c>
      <c r="E236" s="87">
        <v>2011</v>
      </c>
      <c r="F236" s="132">
        <v>0</v>
      </c>
      <c r="G236" s="132">
        <v>0</v>
      </c>
      <c r="H236" s="132">
        <v>439.82929999999999</v>
      </c>
      <c r="I236" s="132">
        <v>1099.8991999999996</v>
      </c>
      <c r="J236" s="132">
        <v>234.76869999999994</v>
      </c>
      <c r="K236" s="132">
        <v>9858.3324000000102</v>
      </c>
      <c r="L236" s="132">
        <v>480.37940000000003</v>
      </c>
      <c r="M236" s="132">
        <v>1648.7898999999998</v>
      </c>
      <c r="N236" s="132">
        <v>1240.8686000000007</v>
      </c>
      <c r="O236" s="132">
        <v>2598.301300000001</v>
      </c>
      <c r="P236" s="132">
        <v>17601.16880000001</v>
      </c>
      <c r="R236" s="97">
        <f t="shared" si="15"/>
        <v>3370.0379000000003</v>
      </c>
    </row>
    <row r="237" spans="2:18" hidden="1">
      <c r="B237" s="79"/>
      <c r="C237" s="124" t="s">
        <v>119</v>
      </c>
      <c r="D237" s="81" t="s">
        <v>179</v>
      </c>
      <c r="E237" s="82">
        <v>2012</v>
      </c>
      <c r="F237" s="133">
        <v>0</v>
      </c>
      <c r="G237" s="133">
        <v>0</v>
      </c>
      <c r="H237" s="133">
        <v>399.27680000000004</v>
      </c>
      <c r="I237" s="133">
        <v>1205.3350999999998</v>
      </c>
      <c r="J237" s="133">
        <v>173.63870000000003</v>
      </c>
      <c r="K237" s="133">
        <v>10065.953500000009</v>
      </c>
      <c r="L237" s="133">
        <v>372.96069999999992</v>
      </c>
      <c r="M237" s="133">
        <v>1557.7207999999998</v>
      </c>
      <c r="N237" s="133">
        <v>1545.4169000000004</v>
      </c>
      <c r="O237" s="133">
        <v>2776.8477999999996</v>
      </c>
      <c r="P237" s="133">
        <v>18097.150300000034</v>
      </c>
      <c r="R237" s="97">
        <f t="shared" si="15"/>
        <v>3476.0983999999999</v>
      </c>
    </row>
    <row r="238" spans="2:18" hidden="1">
      <c r="B238" s="79"/>
      <c r="C238" s="124" t="s">
        <v>119</v>
      </c>
      <c r="D238" s="77" t="s">
        <v>119</v>
      </c>
      <c r="E238" s="87">
        <v>2005</v>
      </c>
      <c r="F238" s="132">
        <v>26.865200000000002</v>
      </c>
      <c r="G238" s="132">
        <v>435.41220000000038</v>
      </c>
      <c r="H238" s="132">
        <v>1190.3321000000001</v>
      </c>
      <c r="I238" s="132">
        <v>2466.8292999999994</v>
      </c>
      <c r="J238" s="132">
        <v>6305.4327000000039</v>
      </c>
      <c r="K238" s="132">
        <v>88885.13670000041</v>
      </c>
      <c r="L238" s="132">
        <v>4665.0735999999979</v>
      </c>
      <c r="M238" s="132">
        <v>12001.820899999981</v>
      </c>
      <c r="N238" s="132">
        <v>6939.0215999999955</v>
      </c>
      <c r="O238" s="132">
        <v>4010.4249999999993</v>
      </c>
      <c r="P238" s="132">
        <v>126926.34930000041</v>
      </c>
      <c r="R238" s="97">
        <f t="shared" si="15"/>
        <v>23605.916099999977</v>
      </c>
    </row>
    <row r="239" spans="2:18" hidden="1">
      <c r="B239" s="79"/>
      <c r="C239" s="124" t="s">
        <v>119</v>
      </c>
      <c r="D239" s="81" t="s">
        <v>119</v>
      </c>
      <c r="E239" s="87">
        <v>2006</v>
      </c>
      <c r="F239" s="132">
        <v>2.1435</v>
      </c>
      <c r="G239" s="132">
        <v>361.78910000000013</v>
      </c>
      <c r="H239" s="132">
        <v>929.79299999999978</v>
      </c>
      <c r="I239" s="132">
        <v>2563.4284999999995</v>
      </c>
      <c r="J239" s="132">
        <v>5378.2064000000009</v>
      </c>
      <c r="K239" s="132">
        <v>87047.303499999718</v>
      </c>
      <c r="L239" s="132">
        <v>4404.630799999999</v>
      </c>
      <c r="M239" s="132">
        <v>12397.075499999995</v>
      </c>
      <c r="N239" s="132">
        <v>6233.9551999999976</v>
      </c>
      <c r="O239" s="132">
        <v>4397.9077000000007</v>
      </c>
      <c r="P239" s="132">
        <v>123716.23319999948</v>
      </c>
      <c r="R239" s="97">
        <f t="shared" si="15"/>
        <v>23035.661499999991</v>
      </c>
    </row>
    <row r="240" spans="2:18" hidden="1">
      <c r="B240" s="79"/>
      <c r="C240" s="124" t="s">
        <v>119</v>
      </c>
      <c r="D240" s="81" t="s">
        <v>119</v>
      </c>
      <c r="E240" s="87">
        <v>2007</v>
      </c>
      <c r="F240" s="132">
        <v>1.1432</v>
      </c>
      <c r="G240" s="132">
        <v>169.70310000000003</v>
      </c>
      <c r="H240" s="132">
        <v>742.2199999999998</v>
      </c>
      <c r="I240" s="132">
        <v>2594.8913000000011</v>
      </c>
      <c r="J240" s="132">
        <v>5496.0760999999948</v>
      </c>
      <c r="K240" s="132">
        <v>88847.055999999691</v>
      </c>
      <c r="L240" s="132">
        <v>5131.961299999999</v>
      </c>
      <c r="M240" s="132">
        <v>12943.068800000012</v>
      </c>
      <c r="N240" s="132">
        <v>6242.6571999999978</v>
      </c>
      <c r="O240" s="132">
        <v>5041.602899999999</v>
      </c>
      <c r="P240" s="132">
        <v>127210.37989999978</v>
      </c>
      <c r="R240" s="97">
        <f t="shared" si="15"/>
        <v>24317.687300000009</v>
      </c>
    </row>
    <row r="241" spans="2:20">
      <c r="B241" s="79"/>
      <c r="C241" s="123" t="s">
        <v>119</v>
      </c>
      <c r="D241" s="94" t="s">
        <v>119</v>
      </c>
      <c r="E241" s="100">
        <v>2006</v>
      </c>
      <c r="F241" s="135">
        <f>F25+F52+F79+F106+F133+F160+F187+F214</f>
        <v>25.474299999999992</v>
      </c>
      <c r="G241" s="135">
        <f t="shared" ref="G241:O241" si="16">G25+G52+G79+G106+G133+G160+G187+G214</f>
        <v>225.41410000000002</v>
      </c>
      <c r="H241" s="135">
        <f t="shared" si="16"/>
        <v>1042.8372000000002</v>
      </c>
      <c r="I241" s="135">
        <f t="shared" si="16"/>
        <v>2563.4285</v>
      </c>
      <c r="J241" s="135">
        <f t="shared" si="16"/>
        <v>5378.2064000000009</v>
      </c>
      <c r="K241" s="135">
        <f t="shared" si="16"/>
        <v>87047.30349999998</v>
      </c>
      <c r="L241" s="135">
        <f t="shared" si="16"/>
        <v>4404.6307999999999</v>
      </c>
      <c r="M241" s="135">
        <f t="shared" si="16"/>
        <v>12397.075500000003</v>
      </c>
      <c r="N241" s="135">
        <f t="shared" si="16"/>
        <v>6233.9551999999985</v>
      </c>
      <c r="O241" s="135">
        <f t="shared" si="16"/>
        <v>4397.9138999999996</v>
      </c>
      <c r="P241" s="135">
        <f>P25+P52+P79+P106+P133+P160+P187+P214</f>
        <v>123716.23939999989</v>
      </c>
      <c r="Q241" s="135">
        <f>Q25+Q52+Q79+Q106+Q133+Q160+Q187+Q214</f>
        <v>4397.9138999999996</v>
      </c>
      <c r="R241" s="135">
        <f>R25+R52+R79+R106+R133+R160+R187+R214</f>
        <v>23035.661499999998</v>
      </c>
      <c r="S241" s="135">
        <f>S25+S52+S79+S106+S133+S160+S187+S214</f>
        <v>96282.66399999999</v>
      </c>
      <c r="T241" s="135">
        <f>T25+T52+T79+T106+T133+T160+T187+T214</f>
        <v>209368.78750000001</v>
      </c>
    </row>
    <row r="242" spans="2:20">
      <c r="B242" s="79"/>
      <c r="C242" s="123" t="s">
        <v>119</v>
      </c>
      <c r="D242" s="94" t="s">
        <v>119</v>
      </c>
      <c r="E242" s="100">
        <v>2007</v>
      </c>
      <c r="F242" s="135">
        <f>F26+F53+F80+F107+F134+F161+F188+F215</f>
        <v>1.2682</v>
      </c>
      <c r="G242" s="135">
        <f t="shared" ref="G242:P242" si="17">G26+G53+G80+G107+G134+G161+G188+G215</f>
        <v>49.703100000000013</v>
      </c>
      <c r="H242" s="135">
        <f t="shared" si="17"/>
        <v>862.09500000000003</v>
      </c>
      <c r="I242" s="135">
        <f t="shared" si="17"/>
        <v>2594.8912999999998</v>
      </c>
      <c r="J242" s="135">
        <f t="shared" si="17"/>
        <v>5495.8065999999963</v>
      </c>
      <c r="K242" s="135">
        <f t="shared" si="17"/>
        <v>88847.055999999953</v>
      </c>
      <c r="L242" s="135">
        <f t="shared" si="17"/>
        <v>5131.9613000000008</v>
      </c>
      <c r="M242" s="135">
        <f t="shared" si="17"/>
        <v>12943.068800000001</v>
      </c>
      <c r="N242" s="135">
        <f t="shared" si="17"/>
        <v>6242.6572000000015</v>
      </c>
      <c r="O242" s="135">
        <f t="shared" si="17"/>
        <v>5042.1032000000005</v>
      </c>
      <c r="P242" s="135">
        <f t="shared" si="17"/>
        <v>127210.61069999992</v>
      </c>
      <c r="Q242" s="135">
        <f>Q26+Q53+Q80+Q107+Q134+Q161+Q188+Q215</f>
        <v>5042.1032000000005</v>
      </c>
      <c r="R242" s="135">
        <f>R26+R53+R80+R107+R134+R161+R188+R215</f>
        <v>24317.687300000005</v>
      </c>
      <c r="S242" s="135">
        <f>S26+S53+S80+S107+S134+S161+S188+S215</f>
        <v>97850.820199999958</v>
      </c>
      <c r="T242" s="135">
        <f>T26+T53+T80+T107+T134+T161+T188+T215</f>
        <v>221224.91409999994</v>
      </c>
    </row>
    <row r="243" spans="2:20">
      <c r="B243" s="79"/>
      <c r="C243" s="123" t="s">
        <v>119</v>
      </c>
      <c r="D243" s="94" t="s">
        <v>119</v>
      </c>
      <c r="E243" s="100">
        <v>2008</v>
      </c>
      <c r="F243" s="135">
        <v>0</v>
      </c>
      <c r="G243" s="135">
        <v>137.90099999999998</v>
      </c>
      <c r="H243" s="135">
        <v>1016.6557999999999</v>
      </c>
      <c r="I243" s="135">
        <v>2400.3058999999998</v>
      </c>
      <c r="J243" s="135">
        <v>4663.0356999999967</v>
      </c>
      <c r="K243" s="135">
        <v>88156.95409999945</v>
      </c>
      <c r="L243" s="135">
        <v>4993.8343999999988</v>
      </c>
      <c r="M243" s="135">
        <v>13265.814300000013</v>
      </c>
      <c r="N243" s="135">
        <v>6316.8461999999981</v>
      </c>
      <c r="O243" s="135">
        <v>5410.4557000000004</v>
      </c>
      <c r="P243" s="135">
        <v>126361.80309999926</v>
      </c>
      <c r="Q243" s="135">
        <f t="shared" ref="Q243:T248" si="18">Q27+Q54+Q81+Q108+Q135+Q162+Q189+Q216</f>
        <v>5410.4557000000013</v>
      </c>
      <c r="R243" s="135">
        <f t="shared" si="18"/>
        <v>24576.494900000005</v>
      </c>
      <c r="S243" s="135">
        <f t="shared" si="18"/>
        <v>96374.852499999964</v>
      </c>
      <c r="T243" s="135">
        <f t="shared" si="18"/>
        <v>224208.89420000001</v>
      </c>
    </row>
    <row r="244" spans="2:20">
      <c r="B244" s="79"/>
      <c r="C244" s="123" t="s">
        <v>119</v>
      </c>
      <c r="D244" s="94" t="s">
        <v>119</v>
      </c>
      <c r="E244" s="100">
        <v>2009</v>
      </c>
      <c r="F244" s="135">
        <v>0</v>
      </c>
      <c r="G244" s="135">
        <v>56.158000000000001</v>
      </c>
      <c r="H244" s="135">
        <v>917.70899999999961</v>
      </c>
      <c r="I244" s="135">
        <v>3320.6047999999992</v>
      </c>
      <c r="J244" s="135">
        <v>4199.0179999999991</v>
      </c>
      <c r="K244" s="135">
        <v>91429.634800000451</v>
      </c>
      <c r="L244" s="135">
        <v>5775.8979000000018</v>
      </c>
      <c r="M244" s="135">
        <v>15564.336400000017</v>
      </c>
      <c r="N244" s="135">
        <v>6718.7515999999978</v>
      </c>
      <c r="O244" s="135">
        <v>5979.5297000000019</v>
      </c>
      <c r="P244" s="135">
        <v>133961.64019999982</v>
      </c>
      <c r="Q244" s="135">
        <f t="shared" si="18"/>
        <v>5979.5296999999991</v>
      </c>
      <c r="R244" s="135">
        <f t="shared" si="18"/>
        <v>28058.985900000007</v>
      </c>
      <c r="S244" s="135">
        <f t="shared" si="18"/>
        <v>99923.124599999879</v>
      </c>
      <c r="T244" s="135">
        <f t="shared" si="18"/>
        <v>243895.37929999988</v>
      </c>
    </row>
    <row r="245" spans="2:20">
      <c r="B245" s="79"/>
      <c r="C245" s="123" t="s">
        <v>119</v>
      </c>
      <c r="D245" s="94" t="s">
        <v>119</v>
      </c>
      <c r="E245" s="100">
        <v>2010</v>
      </c>
      <c r="F245" s="135">
        <v>0</v>
      </c>
      <c r="G245" s="135">
        <v>96.5</v>
      </c>
      <c r="H245" s="135">
        <v>882.32719999999972</v>
      </c>
      <c r="I245" s="135">
        <v>2797.0240000000003</v>
      </c>
      <c r="J245" s="135">
        <v>3745.5849999999987</v>
      </c>
      <c r="K245" s="135">
        <v>93637.430399999779</v>
      </c>
      <c r="L245" s="135">
        <v>5751.4037000000044</v>
      </c>
      <c r="M245" s="135">
        <v>16478.532000000021</v>
      </c>
      <c r="N245" s="135">
        <v>7138.1229999999978</v>
      </c>
      <c r="O245" s="135">
        <v>6202.317699999996</v>
      </c>
      <c r="P245" s="135">
        <v>136729.24300000048</v>
      </c>
      <c r="Q245" s="135">
        <f t="shared" si="18"/>
        <v>6202.3177000000014</v>
      </c>
      <c r="R245" s="135">
        <f t="shared" si="18"/>
        <v>29368.058700000009</v>
      </c>
      <c r="S245" s="135">
        <f t="shared" si="18"/>
        <v>101158.86659999989</v>
      </c>
      <c r="T245" s="135">
        <f t="shared" si="18"/>
        <v>251286.2196999999</v>
      </c>
    </row>
    <row r="246" spans="2:20">
      <c r="B246" s="79"/>
      <c r="C246" s="123" t="s">
        <v>119</v>
      </c>
      <c r="D246" s="94" t="s">
        <v>119</v>
      </c>
      <c r="E246" s="100">
        <v>2011</v>
      </c>
      <c r="F246" s="135">
        <v>4.2773999999999992</v>
      </c>
      <c r="G246" s="135">
        <v>593.62439999999992</v>
      </c>
      <c r="H246" s="135">
        <v>893.64110000000005</v>
      </c>
      <c r="I246" s="135">
        <v>2471.5703999999996</v>
      </c>
      <c r="J246" s="135">
        <v>2948.7330000000024</v>
      </c>
      <c r="K246" s="135">
        <v>92161.298799999917</v>
      </c>
      <c r="L246" s="135">
        <v>4921.4518000000025</v>
      </c>
      <c r="M246" s="135">
        <v>15746.380400000015</v>
      </c>
      <c r="N246" s="135">
        <v>7189.5906999999997</v>
      </c>
      <c r="O246" s="135">
        <v>6423.5013000000017</v>
      </c>
      <c r="P246" s="135">
        <v>133354.06930000026</v>
      </c>
      <c r="Q246" s="135">
        <f t="shared" si="18"/>
        <v>6423.5013000000008</v>
      </c>
      <c r="R246" s="135">
        <f t="shared" si="18"/>
        <v>27857.422900000009</v>
      </c>
      <c r="S246" s="135">
        <f t="shared" si="18"/>
        <v>99073.145099999863</v>
      </c>
      <c r="T246" s="135">
        <f t="shared" si="18"/>
        <v>246880.4267999999</v>
      </c>
    </row>
    <row r="247" spans="2:20">
      <c r="B247" s="79"/>
      <c r="C247" s="533" t="s">
        <v>119</v>
      </c>
      <c r="D247" s="94" t="s">
        <v>119</v>
      </c>
      <c r="E247" s="100">
        <v>2012</v>
      </c>
      <c r="F247" s="135">
        <v>0.754</v>
      </c>
      <c r="G247" s="135">
        <v>789.37580000000014</v>
      </c>
      <c r="H247" s="135">
        <v>856.72520000000009</v>
      </c>
      <c r="I247" s="135">
        <v>2480.3089</v>
      </c>
      <c r="J247" s="135">
        <v>2559.2124999999996</v>
      </c>
      <c r="K247" s="135">
        <v>93499.627100000012</v>
      </c>
      <c r="L247" s="135">
        <v>4591.0921000000026</v>
      </c>
      <c r="M247" s="135">
        <v>15428.59720000002</v>
      </c>
      <c r="N247" s="135">
        <v>7528.5252999999975</v>
      </c>
      <c r="O247" s="135">
        <v>6508.2016999999978</v>
      </c>
      <c r="P247" s="135">
        <v>134242.4198</v>
      </c>
      <c r="Q247" s="135">
        <f t="shared" si="18"/>
        <v>6508.2017000000005</v>
      </c>
      <c r="R247" s="135">
        <f t="shared" si="18"/>
        <v>27548.214600000007</v>
      </c>
      <c r="S247" s="135">
        <f t="shared" si="18"/>
        <v>100186.00349999989</v>
      </c>
      <c r="T247" s="135">
        <f t="shared" si="18"/>
        <v>247912.66429999992</v>
      </c>
    </row>
    <row r="248" spans="2:20">
      <c r="B248" s="89"/>
      <c r="C248" s="123" t="s">
        <v>119</v>
      </c>
      <c r="D248" s="534" t="s">
        <v>119</v>
      </c>
      <c r="E248" s="532">
        <v>2013</v>
      </c>
      <c r="F248" s="525">
        <v>3.6497000000000002</v>
      </c>
      <c r="G248" s="525">
        <v>473.1721000000004</v>
      </c>
      <c r="H248" s="525">
        <v>898.43420000000015</v>
      </c>
      <c r="I248" s="525">
        <v>2418.5423000000005</v>
      </c>
      <c r="J248" s="525">
        <v>2012.8054</v>
      </c>
      <c r="K248" s="525">
        <v>92241.282700000229</v>
      </c>
      <c r="L248" s="525">
        <v>4125.5055000000029</v>
      </c>
      <c r="M248" s="525">
        <v>16038.652100000019</v>
      </c>
      <c r="N248" s="525">
        <v>7732.8906999999999</v>
      </c>
      <c r="O248" s="525">
        <v>6607.6489000000047</v>
      </c>
      <c r="P248" s="525">
        <v>132552.58360000013</v>
      </c>
      <c r="Q248" s="135">
        <f t="shared" si="18"/>
        <v>6607.6488999999992</v>
      </c>
      <c r="R248" s="135">
        <f t="shared" si="18"/>
        <v>27897.048300000006</v>
      </c>
      <c r="S248" s="135">
        <f t="shared" si="18"/>
        <v>98047.886399999858</v>
      </c>
      <c r="T248" s="135">
        <f t="shared" si="18"/>
        <v>247815.52029999992</v>
      </c>
    </row>
    <row r="249" spans="2:20" hidden="1">
      <c r="B249" s="76" t="s">
        <v>181</v>
      </c>
      <c r="C249" s="76" t="s">
        <v>182</v>
      </c>
      <c r="D249" s="77" t="s">
        <v>179</v>
      </c>
      <c r="E249" s="87">
        <v>2005</v>
      </c>
      <c r="F249" s="88">
        <v>38.743100000000112</v>
      </c>
      <c r="G249" s="88">
        <v>609.38959999999952</v>
      </c>
      <c r="H249" s="88">
        <v>605.96139999999991</v>
      </c>
      <c r="I249" s="88">
        <v>324.00829999999985</v>
      </c>
      <c r="J249" s="88">
        <v>429.95590000000004</v>
      </c>
      <c r="K249" s="88">
        <v>0</v>
      </c>
      <c r="L249" s="88">
        <v>0</v>
      </c>
      <c r="M249" s="88">
        <v>0</v>
      </c>
      <c r="N249" s="88">
        <v>0</v>
      </c>
      <c r="O249" s="88">
        <v>0</v>
      </c>
      <c r="P249" s="88">
        <v>2008.0582999999981</v>
      </c>
    </row>
    <row r="250" spans="2:20" hidden="1">
      <c r="B250" s="79"/>
      <c r="C250" s="79"/>
      <c r="D250" s="81" t="s">
        <v>180</v>
      </c>
      <c r="E250" s="87">
        <v>2006</v>
      </c>
      <c r="F250" s="88">
        <v>19.990600000000008</v>
      </c>
      <c r="G250" s="88">
        <v>749.10249999999746</v>
      </c>
      <c r="H250" s="88">
        <v>479.07569999999993</v>
      </c>
      <c r="I250" s="88">
        <v>411.08269999999993</v>
      </c>
      <c r="J250" s="88">
        <v>385.37580000000003</v>
      </c>
      <c r="K250" s="88">
        <v>0</v>
      </c>
      <c r="L250" s="88">
        <v>0</v>
      </c>
      <c r="M250" s="88">
        <v>0</v>
      </c>
      <c r="N250" s="88">
        <v>0</v>
      </c>
      <c r="O250" s="88">
        <v>0</v>
      </c>
      <c r="P250" s="88">
        <v>2044.6272999999987</v>
      </c>
    </row>
    <row r="251" spans="2:20" hidden="1">
      <c r="B251" s="79"/>
      <c r="C251" s="79"/>
      <c r="D251" s="81" t="s">
        <v>180</v>
      </c>
      <c r="E251" s="87">
        <v>2007</v>
      </c>
      <c r="F251" s="88">
        <v>11.519700000000007</v>
      </c>
      <c r="G251" s="88">
        <v>838.39680000000169</v>
      </c>
      <c r="H251" s="88">
        <v>471.04229999999967</v>
      </c>
      <c r="I251" s="88">
        <v>517.41170000000022</v>
      </c>
      <c r="J251" s="88">
        <v>365.11440000000005</v>
      </c>
      <c r="K251" s="88">
        <v>0</v>
      </c>
      <c r="L251" s="88">
        <v>0</v>
      </c>
      <c r="M251" s="88">
        <v>0</v>
      </c>
      <c r="N251" s="88">
        <v>0</v>
      </c>
      <c r="O251" s="88">
        <v>0</v>
      </c>
      <c r="P251" s="88">
        <v>2203.4848999999995</v>
      </c>
    </row>
    <row r="252" spans="2:20" hidden="1">
      <c r="B252" s="79"/>
      <c r="C252" s="79"/>
      <c r="D252" s="81" t="s">
        <v>180</v>
      </c>
      <c r="E252" s="87">
        <v>2008</v>
      </c>
      <c r="F252" s="88">
        <v>30.531499999999998</v>
      </c>
      <c r="G252" s="88">
        <v>621.24330000000043</v>
      </c>
      <c r="H252" s="88">
        <v>559.98689999999999</v>
      </c>
      <c r="I252" s="88">
        <v>427.10950000000003</v>
      </c>
      <c r="J252" s="88">
        <v>364.678</v>
      </c>
      <c r="K252" s="88">
        <v>0</v>
      </c>
      <c r="L252" s="88">
        <v>0</v>
      </c>
      <c r="M252" s="88">
        <v>0</v>
      </c>
      <c r="N252" s="88">
        <v>0</v>
      </c>
      <c r="O252" s="88">
        <v>0</v>
      </c>
      <c r="P252" s="88">
        <v>2003.5492000000017</v>
      </c>
    </row>
    <row r="253" spans="2:20" hidden="1">
      <c r="B253" s="79"/>
      <c r="C253" s="79"/>
      <c r="D253" s="81" t="s">
        <v>180</v>
      </c>
      <c r="E253" s="87">
        <v>2009</v>
      </c>
      <c r="F253" s="88">
        <v>42.091299999999997</v>
      </c>
      <c r="G253" s="88">
        <v>584.32520000000034</v>
      </c>
      <c r="H253" s="88">
        <v>558.28420000000006</v>
      </c>
      <c r="I253" s="88">
        <v>484.93269999999984</v>
      </c>
      <c r="J253" s="88">
        <v>400.61530000000005</v>
      </c>
      <c r="K253" s="88">
        <v>0</v>
      </c>
      <c r="L253" s="88">
        <v>0</v>
      </c>
      <c r="M253" s="88">
        <v>0</v>
      </c>
      <c r="N253" s="88">
        <v>0</v>
      </c>
      <c r="O253" s="88">
        <v>0</v>
      </c>
      <c r="P253" s="88">
        <v>2070.2487000000024</v>
      </c>
    </row>
    <row r="254" spans="2:20" hidden="1">
      <c r="B254" s="79"/>
      <c r="C254" s="79"/>
      <c r="D254" s="81" t="s">
        <v>180</v>
      </c>
      <c r="E254" s="87">
        <v>2010</v>
      </c>
      <c r="F254" s="88">
        <v>30.795799999999993</v>
      </c>
      <c r="G254" s="88">
        <v>639.00660000000005</v>
      </c>
      <c r="H254" s="88">
        <v>700.68999999999971</v>
      </c>
      <c r="I254" s="88">
        <v>394.29179999999985</v>
      </c>
      <c r="J254" s="88">
        <v>395.90129999999994</v>
      </c>
      <c r="K254" s="88">
        <v>0</v>
      </c>
      <c r="L254" s="88">
        <v>0</v>
      </c>
      <c r="M254" s="88">
        <v>0</v>
      </c>
      <c r="N254" s="88">
        <v>0</v>
      </c>
      <c r="O254" s="88">
        <v>0</v>
      </c>
      <c r="P254" s="88">
        <v>2160.6854999999996</v>
      </c>
    </row>
    <row r="255" spans="2:20" hidden="1">
      <c r="B255" s="79"/>
      <c r="C255" s="79"/>
      <c r="D255" s="81" t="s">
        <v>180</v>
      </c>
      <c r="E255" s="87">
        <v>2011</v>
      </c>
      <c r="F255" s="88">
        <v>33.454399999999993</v>
      </c>
      <c r="G255" s="88">
        <v>677.80119999999988</v>
      </c>
      <c r="H255" s="88">
        <v>609.5025999999998</v>
      </c>
      <c r="I255" s="88">
        <v>306.46890000000002</v>
      </c>
      <c r="J255" s="88">
        <v>429.10059999999993</v>
      </c>
      <c r="K255" s="88">
        <v>0</v>
      </c>
      <c r="L255" s="88">
        <v>0</v>
      </c>
      <c r="M255" s="88">
        <v>0</v>
      </c>
      <c r="N255" s="88">
        <v>0</v>
      </c>
      <c r="O255" s="88">
        <v>0</v>
      </c>
      <c r="P255" s="88">
        <v>2056.3277000000007</v>
      </c>
    </row>
    <row r="256" spans="2:20" hidden="1">
      <c r="B256" s="79"/>
      <c r="C256" s="79"/>
      <c r="D256" s="81" t="s">
        <v>180</v>
      </c>
      <c r="E256" s="82">
        <v>2012</v>
      </c>
      <c r="F256" s="83">
        <v>26.881</v>
      </c>
      <c r="G256" s="83">
        <v>648.18560000000002</v>
      </c>
      <c r="H256" s="83">
        <v>491.38039999999978</v>
      </c>
      <c r="I256" s="83">
        <v>314.75540000000007</v>
      </c>
      <c r="J256" s="83">
        <v>402.31399999999996</v>
      </c>
      <c r="K256" s="83">
        <v>0</v>
      </c>
      <c r="L256" s="83">
        <v>0</v>
      </c>
      <c r="M256" s="83">
        <v>0</v>
      </c>
      <c r="N256" s="83">
        <v>0</v>
      </c>
      <c r="O256" s="83">
        <v>0</v>
      </c>
      <c r="P256" s="83">
        <v>1883.5164000000011</v>
      </c>
    </row>
    <row r="257" spans="2:16" hidden="1">
      <c r="B257" s="79"/>
      <c r="C257" s="79"/>
      <c r="D257" s="77" t="s">
        <v>180</v>
      </c>
      <c r="E257" s="87">
        <v>2005</v>
      </c>
      <c r="F257" s="88">
        <v>4.1600000000000005E-2</v>
      </c>
      <c r="G257" s="88">
        <v>3.7767000000000004</v>
      </c>
      <c r="H257" s="88">
        <v>9.3132000000000001</v>
      </c>
      <c r="I257" s="88">
        <v>2.1225000000000005</v>
      </c>
      <c r="J257" s="88">
        <v>13.870199999999999</v>
      </c>
      <c r="K257" s="88">
        <v>0</v>
      </c>
      <c r="L257" s="88">
        <v>0</v>
      </c>
      <c r="M257" s="88">
        <v>0</v>
      </c>
      <c r="N257" s="88">
        <v>0</v>
      </c>
      <c r="O257" s="88">
        <v>0</v>
      </c>
      <c r="P257" s="88">
        <v>29.124199999999995</v>
      </c>
    </row>
    <row r="258" spans="2:16" hidden="1">
      <c r="B258" s="79"/>
      <c r="C258" s="79"/>
      <c r="D258" s="81" t="s">
        <v>179</v>
      </c>
      <c r="E258" s="87">
        <v>2006</v>
      </c>
      <c r="F258" s="88">
        <v>0</v>
      </c>
      <c r="G258" s="88">
        <v>2.9534999999999996</v>
      </c>
      <c r="H258" s="88">
        <v>6.600200000000001</v>
      </c>
      <c r="I258" s="88">
        <v>0.62749999999999995</v>
      </c>
      <c r="J258" s="88">
        <v>12.3271</v>
      </c>
      <c r="K258" s="88">
        <v>0</v>
      </c>
      <c r="L258" s="88">
        <v>0</v>
      </c>
      <c r="M258" s="88">
        <v>0</v>
      </c>
      <c r="N258" s="88">
        <v>0</v>
      </c>
      <c r="O258" s="88">
        <v>0</v>
      </c>
      <c r="P258" s="88">
        <v>22.508299999999995</v>
      </c>
    </row>
    <row r="259" spans="2:16" hidden="1">
      <c r="B259" s="79"/>
      <c r="C259" s="79"/>
      <c r="D259" s="81" t="s">
        <v>179</v>
      </c>
      <c r="E259" s="87">
        <v>2007</v>
      </c>
      <c r="F259" s="88">
        <v>0</v>
      </c>
      <c r="G259" s="88">
        <v>1.7916000000000003</v>
      </c>
      <c r="H259" s="88">
        <v>8.1419999999999995</v>
      </c>
      <c r="I259" s="88">
        <v>3.5874000000000006</v>
      </c>
      <c r="J259" s="88">
        <v>11.398899999999999</v>
      </c>
      <c r="K259" s="88">
        <v>0</v>
      </c>
      <c r="L259" s="88">
        <v>0</v>
      </c>
      <c r="M259" s="88">
        <v>0</v>
      </c>
      <c r="N259" s="88">
        <v>0</v>
      </c>
      <c r="O259" s="88">
        <v>0</v>
      </c>
      <c r="P259" s="88">
        <v>24.919899999999991</v>
      </c>
    </row>
    <row r="260" spans="2:16" hidden="1">
      <c r="B260" s="79"/>
      <c r="C260" s="79"/>
      <c r="D260" s="81" t="s">
        <v>179</v>
      </c>
      <c r="E260" s="87">
        <v>2008</v>
      </c>
      <c r="F260" s="88">
        <v>0</v>
      </c>
      <c r="G260" s="88">
        <v>1.3749000000000002</v>
      </c>
      <c r="H260" s="88">
        <v>3.7336</v>
      </c>
      <c r="I260" s="88">
        <v>5.3765000000000009</v>
      </c>
      <c r="J260" s="88">
        <v>14.591399999999998</v>
      </c>
      <c r="K260" s="88">
        <v>0</v>
      </c>
      <c r="L260" s="88">
        <v>0</v>
      </c>
      <c r="M260" s="88">
        <v>0</v>
      </c>
      <c r="N260" s="88">
        <v>0</v>
      </c>
      <c r="O260" s="88">
        <v>0</v>
      </c>
      <c r="P260" s="88">
        <v>25.076400000000003</v>
      </c>
    </row>
    <row r="261" spans="2:16" hidden="1">
      <c r="B261" s="79"/>
      <c r="C261" s="79"/>
      <c r="D261" s="81" t="s">
        <v>179</v>
      </c>
      <c r="E261" s="87">
        <v>2009</v>
      </c>
      <c r="F261" s="88">
        <v>0</v>
      </c>
      <c r="G261" s="88">
        <v>4.05</v>
      </c>
      <c r="H261" s="88">
        <v>8.5088999999999988</v>
      </c>
      <c r="I261" s="88">
        <v>3.1761000000000004</v>
      </c>
      <c r="J261" s="88">
        <v>14.336300000000001</v>
      </c>
      <c r="K261" s="88">
        <v>0</v>
      </c>
      <c r="L261" s="88">
        <v>0</v>
      </c>
      <c r="M261" s="88">
        <v>0</v>
      </c>
      <c r="N261" s="88">
        <v>0</v>
      </c>
      <c r="O261" s="88">
        <v>0</v>
      </c>
      <c r="P261" s="88">
        <v>30.071299999999997</v>
      </c>
    </row>
    <row r="262" spans="2:16" hidden="1">
      <c r="B262" s="79"/>
      <c r="C262" s="79"/>
      <c r="D262" s="81" t="s">
        <v>179</v>
      </c>
      <c r="E262" s="87">
        <v>2010</v>
      </c>
      <c r="F262" s="88">
        <v>0</v>
      </c>
      <c r="G262" s="88">
        <v>1.0168999999999999</v>
      </c>
      <c r="H262" s="88">
        <v>9.8153999999999968</v>
      </c>
      <c r="I262" s="88">
        <v>5.0013000000000005</v>
      </c>
      <c r="J262" s="88">
        <v>8.5679999999999996</v>
      </c>
      <c r="K262" s="88">
        <v>0</v>
      </c>
      <c r="L262" s="88">
        <v>0</v>
      </c>
      <c r="M262" s="88">
        <v>0</v>
      </c>
      <c r="N262" s="88">
        <v>0</v>
      </c>
      <c r="O262" s="88">
        <v>0</v>
      </c>
      <c r="P262" s="88">
        <v>24.401599999999995</v>
      </c>
    </row>
    <row r="263" spans="2:16" hidden="1">
      <c r="B263" s="79"/>
      <c r="C263" s="79"/>
      <c r="D263" s="81" t="s">
        <v>179</v>
      </c>
      <c r="E263" s="87">
        <v>2011</v>
      </c>
      <c r="F263" s="88">
        <v>0</v>
      </c>
      <c r="G263" s="88">
        <v>1.2334000000000001</v>
      </c>
      <c r="H263" s="88">
        <v>15.478299999999999</v>
      </c>
      <c r="I263" s="88">
        <v>1.0334000000000001</v>
      </c>
      <c r="J263" s="88">
        <v>10.001399999999999</v>
      </c>
      <c r="K263" s="88">
        <v>0</v>
      </c>
      <c r="L263" s="88">
        <v>0</v>
      </c>
      <c r="M263" s="88">
        <v>0</v>
      </c>
      <c r="N263" s="88">
        <v>0</v>
      </c>
      <c r="O263" s="88">
        <v>0</v>
      </c>
      <c r="P263" s="88">
        <v>27.746499999999997</v>
      </c>
    </row>
    <row r="264" spans="2:16" hidden="1">
      <c r="B264" s="79"/>
      <c r="C264" s="79"/>
      <c r="D264" s="81" t="s">
        <v>179</v>
      </c>
      <c r="E264" s="82">
        <v>2012</v>
      </c>
      <c r="F264" s="83">
        <v>0</v>
      </c>
      <c r="G264" s="83">
        <v>1.575</v>
      </c>
      <c r="H264" s="83">
        <v>7.2837999999999994</v>
      </c>
      <c r="I264" s="83">
        <v>2.2178</v>
      </c>
      <c r="J264" s="83">
        <v>14.9857</v>
      </c>
      <c r="K264" s="83">
        <v>0</v>
      </c>
      <c r="L264" s="83">
        <v>0</v>
      </c>
      <c r="M264" s="83">
        <v>0</v>
      </c>
      <c r="N264" s="83">
        <v>0</v>
      </c>
      <c r="O264" s="83">
        <v>0</v>
      </c>
      <c r="P264" s="83">
        <v>26.062299999999997</v>
      </c>
    </row>
    <row r="265" spans="2:16" hidden="1">
      <c r="B265" s="79"/>
      <c r="C265" s="79"/>
      <c r="D265" s="77" t="s">
        <v>119</v>
      </c>
      <c r="E265" s="87">
        <v>2005</v>
      </c>
      <c r="F265" s="88">
        <v>38.784700000000115</v>
      </c>
      <c r="G265" s="88">
        <v>613.16629999999952</v>
      </c>
      <c r="H265" s="88">
        <v>615.27459999999996</v>
      </c>
      <c r="I265" s="88">
        <v>326.13079999999985</v>
      </c>
      <c r="J265" s="88">
        <v>443.82610000000005</v>
      </c>
      <c r="K265" s="88">
        <v>0</v>
      </c>
      <c r="L265" s="88">
        <v>0</v>
      </c>
      <c r="M265" s="88">
        <v>0</v>
      </c>
      <c r="N265" s="88">
        <v>0</v>
      </c>
      <c r="O265" s="88">
        <v>0</v>
      </c>
      <c r="P265" s="88">
        <v>2037.1824999999981</v>
      </c>
    </row>
    <row r="266" spans="2:16" hidden="1">
      <c r="B266" s="79"/>
      <c r="C266" s="79"/>
      <c r="D266" s="81" t="s">
        <v>119</v>
      </c>
      <c r="E266" s="87">
        <v>2006</v>
      </c>
      <c r="F266" s="88">
        <v>19.990600000000008</v>
      </c>
      <c r="G266" s="88">
        <v>752.05599999999743</v>
      </c>
      <c r="H266" s="88">
        <v>485.67589999999996</v>
      </c>
      <c r="I266" s="88">
        <v>411.71019999999993</v>
      </c>
      <c r="J266" s="88">
        <v>397.7029</v>
      </c>
      <c r="K266" s="88">
        <v>0</v>
      </c>
      <c r="L266" s="88">
        <v>0</v>
      </c>
      <c r="M266" s="88">
        <v>0</v>
      </c>
      <c r="N266" s="88">
        <v>0</v>
      </c>
      <c r="O266" s="88">
        <v>0</v>
      </c>
      <c r="P266" s="88">
        <v>2067.1355999999987</v>
      </c>
    </row>
    <row r="267" spans="2:16" hidden="1">
      <c r="B267" s="79"/>
      <c r="C267" s="79"/>
      <c r="D267" s="81" t="s">
        <v>119</v>
      </c>
      <c r="E267" s="87">
        <v>2007</v>
      </c>
      <c r="F267" s="88">
        <v>11.519700000000007</v>
      </c>
      <c r="G267" s="88">
        <v>840.18840000000171</v>
      </c>
      <c r="H267" s="88">
        <v>479.18429999999967</v>
      </c>
      <c r="I267" s="88">
        <v>520.99910000000023</v>
      </c>
      <c r="J267" s="88">
        <v>376.51330000000007</v>
      </c>
      <c r="K267" s="88">
        <v>0</v>
      </c>
      <c r="L267" s="88">
        <v>0</v>
      </c>
      <c r="M267" s="88">
        <v>0</v>
      </c>
      <c r="N267" s="88">
        <v>0</v>
      </c>
      <c r="O267" s="88">
        <v>0</v>
      </c>
      <c r="P267" s="88">
        <v>2228.4047999999993</v>
      </c>
    </row>
    <row r="268" spans="2:16" hidden="1">
      <c r="B268" s="79"/>
      <c r="C268" s="79"/>
      <c r="D268" s="81" t="s">
        <v>119</v>
      </c>
      <c r="E268" s="87">
        <v>2008</v>
      </c>
      <c r="F268" s="88">
        <v>30.531499999999998</v>
      </c>
      <c r="G268" s="88">
        <v>622.61820000000046</v>
      </c>
      <c r="H268" s="88">
        <v>563.72050000000002</v>
      </c>
      <c r="I268" s="88">
        <v>432.48600000000005</v>
      </c>
      <c r="J268" s="88">
        <v>379.26940000000002</v>
      </c>
      <c r="K268" s="88">
        <v>0</v>
      </c>
      <c r="L268" s="88">
        <v>0</v>
      </c>
      <c r="M268" s="88">
        <v>0</v>
      </c>
      <c r="N268" s="88">
        <v>0</v>
      </c>
      <c r="O268" s="88">
        <v>0</v>
      </c>
      <c r="P268" s="88">
        <v>2028.6256000000017</v>
      </c>
    </row>
    <row r="269" spans="2:16" hidden="1">
      <c r="B269" s="79"/>
      <c r="C269" s="79"/>
      <c r="D269" s="81" t="s">
        <v>119</v>
      </c>
      <c r="E269" s="87">
        <v>2009</v>
      </c>
      <c r="F269" s="88">
        <v>42.091299999999997</v>
      </c>
      <c r="G269" s="88">
        <v>588.37520000000029</v>
      </c>
      <c r="H269" s="88">
        <v>566.79310000000009</v>
      </c>
      <c r="I269" s="88">
        <v>488.10879999999986</v>
      </c>
      <c r="J269" s="88">
        <v>414.95160000000004</v>
      </c>
      <c r="K269" s="88">
        <v>0</v>
      </c>
      <c r="L269" s="88">
        <v>0</v>
      </c>
      <c r="M269" s="88">
        <v>0</v>
      </c>
      <c r="N269" s="88">
        <v>0</v>
      </c>
      <c r="O269" s="88">
        <v>0</v>
      </c>
      <c r="P269" s="88">
        <v>2100.3200000000024</v>
      </c>
    </row>
    <row r="270" spans="2:16" hidden="1">
      <c r="B270" s="79"/>
      <c r="C270" s="79"/>
      <c r="D270" s="81" t="s">
        <v>119</v>
      </c>
      <c r="E270" s="87">
        <v>2010</v>
      </c>
      <c r="F270" s="88">
        <v>30.795799999999993</v>
      </c>
      <c r="G270" s="88">
        <v>640.02350000000001</v>
      </c>
      <c r="H270" s="88">
        <v>710.50539999999967</v>
      </c>
      <c r="I270" s="88">
        <v>399.29309999999987</v>
      </c>
      <c r="J270" s="88">
        <v>404.46929999999992</v>
      </c>
      <c r="K270" s="88">
        <v>0</v>
      </c>
      <c r="L270" s="88">
        <v>0</v>
      </c>
      <c r="M270" s="88">
        <v>0</v>
      </c>
      <c r="N270" s="88">
        <v>0</v>
      </c>
      <c r="O270" s="88">
        <v>0</v>
      </c>
      <c r="P270" s="88">
        <v>2185.0870999999997</v>
      </c>
    </row>
    <row r="271" spans="2:16" hidden="1">
      <c r="B271" s="79"/>
      <c r="C271" s="79"/>
      <c r="D271" s="81" t="s">
        <v>119</v>
      </c>
      <c r="E271" s="87">
        <v>2011</v>
      </c>
      <c r="F271" s="88">
        <v>33.454399999999993</v>
      </c>
      <c r="G271" s="88">
        <v>679.03459999999984</v>
      </c>
      <c r="H271" s="88">
        <v>624.98089999999979</v>
      </c>
      <c r="I271" s="88">
        <v>307.50229999999999</v>
      </c>
      <c r="J271" s="88">
        <v>439.10199999999992</v>
      </c>
      <c r="K271" s="88">
        <v>0</v>
      </c>
      <c r="L271" s="88">
        <v>0</v>
      </c>
      <c r="M271" s="88">
        <v>0</v>
      </c>
      <c r="N271" s="88">
        <v>0</v>
      </c>
      <c r="O271" s="88">
        <v>0</v>
      </c>
      <c r="P271" s="88">
        <v>2084.0742000000009</v>
      </c>
    </row>
    <row r="272" spans="2:16" hidden="1">
      <c r="B272" s="79"/>
      <c r="C272" s="89"/>
      <c r="D272" s="81" t="s">
        <v>119</v>
      </c>
      <c r="E272" s="82">
        <v>2012</v>
      </c>
      <c r="F272" s="83">
        <v>26.881</v>
      </c>
      <c r="G272" s="83">
        <v>649.76060000000007</v>
      </c>
      <c r="H272" s="83">
        <v>498.66419999999977</v>
      </c>
      <c r="I272" s="83">
        <v>316.97320000000008</v>
      </c>
      <c r="J272" s="83">
        <v>417.29969999999997</v>
      </c>
      <c r="K272" s="83">
        <v>0</v>
      </c>
      <c r="L272" s="83">
        <v>0</v>
      </c>
      <c r="M272" s="83">
        <v>0</v>
      </c>
      <c r="N272" s="83">
        <v>0</v>
      </c>
      <c r="O272" s="83">
        <v>0</v>
      </c>
      <c r="P272" s="83">
        <v>1909.5787000000012</v>
      </c>
    </row>
    <row r="273" spans="2:16" hidden="1">
      <c r="B273" s="79"/>
      <c r="C273" s="76" t="s">
        <v>183</v>
      </c>
      <c r="D273" s="77" t="s">
        <v>179</v>
      </c>
      <c r="E273" s="85">
        <v>2005</v>
      </c>
      <c r="F273" s="86">
        <v>7.4681000000000006</v>
      </c>
      <c r="G273" s="86">
        <v>373.57739999999995</v>
      </c>
      <c r="H273" s="86">
        <v>647.77620000000002</v>
      </c>
      <c r="I273" s="86">
        <v>516.57230000000004</v>
      </c>
      <c r="J273" s="86">
        <v>758.34339999999997</v>
      </c>
      <c r="K273" s="86">
        <v>43.723800000000011</v>
      </c>
      <c r="L273" s="86">
        <v>2.6645000000000003</v>
      </c>
      <c r="M273" s="86">
        <v>0</v>
      </c>
      <c r="N273" s="86">
        <v>0</v>
      </c>
      <c r="O273" s="86">
        <v>0</v>
      </c>
      <c r="P273" s="86">
        <v>2350.1256999999987</v>
      </c>
    </row>
    <row r="274" spans="2:16" hidden="1">
      <c r="B274" s="79"/>
      <c r="C274" s="79"/>
      <c r="D274" s="81" t="s">
        <v>180</v>
      </c>
      <c r="E274" s="87">
        <v>2006</v>
      </c>
      <c r="F274" s="88">
        <v>29.167599999999997</v>
      </c>
      <c r="G274" s="88">
        <v>368.13390000000015</v>
      </c>
      <c r="H274" s="88">
        <v>862.31879999999978</v>
      </c>
      <c r="I274" s="88">
        <v>554.53859999999997</v>
      </c>
      <c r="J274" s="88">
        <v>691.23650000000021</v>
      </c>
      <c r="K274" s="88">
        <v>46.468900000000005</v>
      </c>
      <c r="L274" s="88">
        <v>1</v>
      </c>
      <c r="M274" s="88">
        <v>0</v>
      </c>
      <c r="N274" s="88">
        <v>0</v>
      </c>
      <c r="O274" s="88">
        <v>0</v>
      </c>
      <c r="P274" s="88">
        <v>2552.8643000000002</v>
      </c>
    </row>
    <row r="275" spans="2:16" hidden="1">
      <c r="B275" s="79"/>
      <c r="C275" s="79"/>
      <c r="D275" s="81" t="s">
        <v>180</v>
      </c>
      <c r="E275" s="87">
        <v>2007</v>
      </c>
      <c r="F275" s="88">
        <v>35.005199999999988</v>
      </c>
      <c r="G275" s="88">
        <v>346.77160000000003</v>
      </c>
      <c r="H275" s="88">
        <v>1099.1093999999998</v>
      </c>
      <c r="I275" s="88">
        <v>545.3193</v>
      </c>
      <c r="J275" s="88">
        <v>742.0014000000001</v>
      </c>
      <c r="K275" s="88">
        <v>39.643900000000016</v>
      </c>
      <c r="L275" s="88">
        <v>1.7151000000000001</v>
      </c>
      <c r="M275" s="88">
        <v>0</v>
      </c>
      <c r="N275" s="88">
        <v>0</v>
      </c>
      <c r="O275" s="88">
        <v>0</v>
      </c>
      <c r="P275" s="88">
        <v>2809.5659000000005</v>
      </c>
    </row>
    <row r="276" spans="2:16" hidden="1">
      <c r="B276" s="79"/>
      <c r="C276" s="79"/>
      <c r="D276" s="81" t="s">
        <v>180</v>
      </c>
      <c r="E276" s="87">
        <v>2008</v>
      </c>
      <c r="F276" s="88">
        <v>34.174299999999995</v>
      </c>
      <c r="G276" s="88">
        <v>392.32069999999993</v>
      </c>
      <c r="H276" s="88">
        <v>892.18929999999978</v>
      </c>
      <c r="I276" s="88">
        <v>573.87130000000002</v>
      </c>
      <c r="J276" s="88">
        <v>772.13970000000006</v>
      </c>
      <c r="K276" s="88">
        <v>16.499999999999996</v>
      </c>
      <c r="L276" s="88">
        <v>3.0650999999999997</v>
      </c>
      <c r="M276" s="88">
        <v>0</v>
      </c>
      <c r="N276" s="88">
        <v>0</v>
      </c>
      <c r="O276" s="88">
        <v>0</v>
      </c>
      <c r="P276" s="88">
        <v>2684.260400000001</v>
      </c>
    </row>
    <row r="277" spans="2:16" hidden="1">
      <c r="B277" s="79"/>
      <c r="C277" s="79"/>
      <c r="D277" s="81" t="s">
        <v>180</v>
      </c>
      <c r="E277" s="87">
        <v>2009</v>
      </c>
      <c r="F277" s="88">
        <v>52.419199999999968</v>
      </c>
      <c r="G277" s="88">
        <v>424.96469999999982</v>
      </c>
      <c r="H277" s="88">
        <v>882.29110000000003</v>
      </c>
      <c r="I277" s="88">
        <v>622.30489999999986</v>
      </c>
      <c r="J277" s="88">
        <v>943.19329999999979</v>
      </c>
      <c r="K277" s="88">
        <v>22.297900000000002</v>
      </c>
      <c r="L277" s="88">
        <v>5.0190999999999999</v>
      </c>
      <c r="M277" s="88">
        <v>0</v>
      </c>
      <c r="N277" s="88">
        <v>0</v>
      </c>
      <c r="O277" s="88">
        <v>0</v>
      </c>
      <c r="P277" s="88">
        <v>2952.4902000000011</v>
      </c>
    </row>
    <row r="278" spans="2:16" hidden="1">
      <c r="B278" s="79"/>
      <c r="C278" s="79"/>
      <c r="D278" s="81" t="s">
        <v>180</v>
      </c>
      <c r="E278" s="87">
        <v>2010</v>
      </c>
      <c r="F278" s="88">
        <v>48.886299999999977</v>
      </c>
      <c r="G278" s="88">
        <v>391.87090000000012</v>
      </c>
      <c r="H278" s="88">
        <v>856.5663999999997</v>
      </c>
      <c r="I278" s="88">
        <v>603.34320000000002</v>
      </c>
      <c r="J278" s="88">
        <v>1143.8693999999998</v>
      </c>
      <c r="K278" s="88">
        <v>6.55</v>
      </c>
      <c r="L278" s="88">
        <v>9.3253000000000004</v>
      </c>
      <c r="M278" s="88">
        <v>0</v>
      </c>
      <c r="N278" s="88">
        <v>0</v>
      </c>
      <c r="O278" s="88">
        <v>0</v>
      </c>
      <c r="P278" s="88">
        <v>3060.4115000000006</v>
      </c>
    </row>
    <row r="279" spans="2:16" hidden="1">
      <c r="B279" s="79"/>
      <c r="C279" s="79"/>
      <c r="D279" s="81" t="s">
        <v>180</v>
      </c>
      <c r="E279" s="87">
        <v>2011</v>
      </c>
      <c r="F279" s="88">
        <v>33.450800000000001</v>
      </c>
      <c r="G279" s="88">
        <v>328.10010000000005</v>
      </c>
      <c r="H279" s="88">
        <v>868.28119999999979</v>
      </c>
      <c r="I279" s="88">
        <v>576.6848</v>
      </c>
      <c r="J279" s="88">
        <v>1180.6316999999999</v>
      </c>
      <c r="K279" s="88">
        <v>1.375</v>
      </c>
      <c r="L279" s="88">
        <v>7.875</v>
      </c>
      <c r="M279" s="88">
        <v>0</v>
      </c>
      <c r="N279" s="88">
        <v>0</v>
      </c>
      <c r="O279" s="88">
        <v>0</v>
      </c>
      <c r="P279" s="88">
        <v>2996.3985999999995</v>
      </c>
    </row>
    <row r="280" spans="2:16" hidden="1">
      <c r="B280" s="79"/>
      <c r="C280" s="79"/>
      <c r="D280" s="81" t="s">
        <v>180</v>
      </c>
      <c r="E280" s="82">
        <v>2012</v>
      </c>
      <c r="F280" s="83">
        <v>31</v>
      </c>
      <c r="G280" s="83">
        <v>292.84170000000006</v>
      </c>
      <c r="H280" s="83">
        <v>833.06359999999972</v>
      </c>
      <c r="I280" s="83">
        <v>583.20489999999995</v>
      </c>
      <c r="J280" s="83">
        <v>1190.2184</v>
      </c>
      <c r="K280" s="83">
        <v>0</v>
      </c>
      <c r="L280" s="83">
        <v>39.242699999999999</v>
      </c>
      <c r="M280" s="83">
        <v>0</v>
      </c>
      <c r="N280" s="83">
        <v>0</v>
      </c>
      <c r="O280" s="83">
        <v>0</v>
      </c>
      <c r="P280" s="83">
        <v>2969.5713000000005</v>
      </c>
    </row>
    <row r="281" spans="2:16" hidden="1">
      <c r="B281" s="79"/>
      <c r="C281" s="79"/>
      <c r="D281" s="77" t="s">
        <v>180</v>
      </c>
      <c r="E281" s="87">
        <v>2005</v>
      </c>
      <c r="F281" s="88">
        <v>0.99959999999999993</v>
      </c>
      <c r="G281" s="88">
        <v>2.2249999999999996</v>
      </c>
      <c r="H281" s="88">
        <v>15.739699999999999</v>
      </c>
      <c r="I281" s="88">
        <v>7.9415999999999993</v>
      </c>
      <c r="J281" s="88">
        <v>38.901700000000005</v>
      </c>
      <c r="K281" s="88">
        <v>2.2385999999999999</v>
      </c>
      <c r="L281" s="88">
        <v>0</v>
      </c>
      <c r="M281" s="88">
        <v>0</v>
      </c>
      <c r="N281" s="88">
        <v>0</v>
      </c>
      <c r="O281" s="88">
        <v>0</v>
      </c>
      <c r="P281" s="88">
        <v>68.046199999999999</v>
      </c>
    </row>
    <row r="282" spans="2:16" hidden="1">
      <c r="B282" s="79"/>
      <c r="C282" s="79"/>
      <c r="D282" s="81" t="s">
        <v>179</v>
      </c>
      <c r="E282" s="87">
        <v>2006</v>
      </c>
      <c r="F282" s="88">
        <v>0</v>
      </c>
      <c r="G282" s="88">
        <v>7.985800000000002</v>
      </c>
      <c r="H282" s="88">
        <v>12.3874</v>
      </c>
      <c r="I282" s="88">
        <v>9.8422999999999998</v>
      </c>
      <c r="J282" s="88">
        <v>31.809800000000003</v>
      </c>
      <c r="K282" s="88">
        <v>3.5055000000000001</v>
      </c>
      <c r="L282" s="88">
        <v>0</v>
      </c>
      <c r="M282" s="88">
        <v>0</v>
      </c>
      <c r="N282" s="88">
        <v>0</v>
      </c>
      <c r="O282" s="88">
        <v>0</v>
      </c>
      <c r="P282" s="88">
        <v>65.530799999999999</v>
      </c>
    </row>
    <row r="283" spans="2:16" hidden="1">
      <c r="B283" s="79"/>
      <c r="C283" s="79"/>
      <c r="D283" s="81" t="s">
        <v>179</v>
      </c>
      <c r="E283" s="87">
        <v>2007</v>
      </c>
      <c r="F283" s="88">
        <v>0</v>
      </c>
      <c r="G283" s="88">
        <v>1.2418</v>
      </c>
      <c r="H283" s="88">
        <v>16.508600000000001</v>
      </c>
      <c r="I283" s="88">
        <v>13.359500000000002</v>
      </c>
      <c r="J283" s="88">
        <v>21.054599999999997</v>
      </c>
      <c r="K283" s="88">
        <v>1.7999999999999998</v>
      </c>
      <c r="L283" s="88">
        <v>1.5</v>
      </c>
      <c r="M283" s="88">
        <v>0</v>
      </c>
      <c r="N283" s="88">
        <v>0</v>
      </c>
      <c r="O283" s="88">
        <v>0</v>
      </c>
      <c r="P283" s="88">
        <v>55.464500000000015</v>
      </c>
    </row>
    <row r="284" spans="2:16" hidden="1">
      <c r="B284" s="79"/>
      <c r="C284" s="79"/>
      <c r="D284" s="81" t="s">
        <v>179</v>
      </c>
      <c r="E284" s="87">
        <v>2008</v>
      </c>
      <c r="F284" s="88">
        <v>0.14169999999999999</v>
      </c>
      <c r="G284" s="88">
        <v>4.3486000000000002</v>
      </c>
      <c r="H284" s="88">
        <v>19.051099999999995</v>
      </c>
      <c r="I284" s="88">
        <v>12.308900000000001</v>
      </c>
      <c r="J284" s="88">
        <v>27.289100000000001</v>
      </c>
      <c r="K284" s="88">
        <v>0.9</v>
      </c>
      <c r="L284" s="88">
        <v>4.8999999999999995</v>
      </c>
      <c r="M284" s="88">
        <v>0</v>
      </c>
      <c r="N284" s="88">
        <v>0</v>
      </c>
      <c r="O284" s="88">
        <v>0</v>
      </c>
      <c r="P284" s="88">
        <v>68.939400000000006</v>
      </c>
    </row>
    <row r="285" spans="2:16" hidden="1">
      <c r="B285" s="79"/>
      <c r="C285" s="79"/>
      <c r="D285" s="81" t="s">
        <v>179</v>
      </c>
      <c r="E285" s="87">
        <v>2009</v>
      </c>
      <c r="F285" s="88">
        <v>0.47509999999999997</v>
      </c>
      <c r="G285" s="88">
        <v>0.9265000000000001</v>
      </c>
      <c r="H285" s="88">
        <v>8.0833999999999993</v>
      </c>
      <c r="I285" s="88">
        <v>14.0467</v>
      </c>
      <c r="J285" s="88">
        <v>46.136300000000013</v>
      </c>
      <c r="K285" s="88">
        <v>1.6720999999999999</v>
      </c>
      <c r="L285" s="88">
        <v>7.8651</v>
      </c>
      <c r="M285" s="88">
        <v>0</v>
      </c>
      <c r="N285" s="88">
        <v>0</v>
      </c>
      <c r="O285" s="88">
        <v>0</v>
      </c>
      <c r="P285" s="88">
        <v>79.205200000000005</v>
      </c>
    </row>
    <row r="286" spans="2:16" hidden="1">
      <c r="B286" s="79"/>
      <c r="C286" s="79"/>
      <c r="D286" s="81" t="s">
        <v>179</v>
      </c>
      <c r="E286" s="87">
        <v>2010</v>
      </c>
      <c r="F286" s="88">
        <v>0</v>
      </c>
      <c r="G286" s="88">
        <v>2.9834000000000001</v>
      </c>
      <c r="H286" s="88">
        <v>5.3665000000000003</v>
      </c>
      <c r="I286" s="88">
        <v>8.4269999999999978</v>
      </c>
      <c r="J286" s="88">
        <v>44.878399999999992</v>
      </c>
      <c r="K286" s="88">
        <v>0.5</v>
      </c>
      <c r="L286" s="88">
        <v>8.125</v>
      </c>
      <c r="M286" s="88">
        <v>0</v>
      </c>
      <c r="N286" s="88">
        <v>0</v>
      </c>
      <c r="O286" s="88">
        <v>0</v>
      </c>
      <c r="P286" s="88">
        <v>70.280299999999997</v>
      </c>
    </row>
    <row r="287" spans="2:16" hidden="1">
      <c r="B287" s="79"/>
      <c r="C287" s="79"/>
      <c r="D287" s="81" t="s">
        <v>179</v>
      </c>
      <c r="E287" s="87">
        <v>2011</v>
      </c>
      <c r="F287" s="88">
        <v>0.28339999999999999</v>
      </c>
      <c r="G287" s="88">
        <v>10.9916</v>
      </c>
      <c r="H287" s="88">
        <v>5.6915000000000004</v>
      </c>
      <c r="I287" s="88">
        <v>2.6225000000000001</v>
      </c>
      <c r="J287" s="88">
        <v>58.7014</v>
      </c>
      <c r="K287" s="88">
        <v>0.125</v>
      </c>
      <c r="L287" s="88">
        <v>6.625</v>
      </c>
      <c r="M287" s="88">
        <v>0</v>
      </c>
      <c r="N287" s="88">
        <v>0</v>
      </c>
      <c r="O287" s="88">
        <v>0</v>
      </c>
      <c r="P287" s="88">
        <v>85.040400000000005</v>
      </c>
    </row>
    <row r="288" spans="2:16" hidden="1">
      <c r="B288" s="79"/>
      <c r="C288" s="79"/>
      <c r="D288" s="81" t="s">
        <v>179</v>
      </c>
      <c r="E288" s="82">
        <v>2012</v>
      </c>
      <c r="F288" s="83">
        <v>0</v>
      </c>
      <c r="G288" s="83">
        <v>2.0083000000000002</v>
      </c>
      <c r="H288" s="83">
        <v>12.1081</v>
      </c>
      <c r="I288" s="83">
        <v>9.992799999999999</v>
      </c>
      <c r="J288" s="83">
        <v>40.9146</v>
      </c>
      <c r="K288" s="83">
        <v>0</v>
      </c>
      <c r="L288" s="83">
        <v>4.1754999999999995</v>
      </c>
      <c r="M288" s="83">
        <v>0</v>
      </c>
      <c r="N288" s="83">
        <v>0</v>
      </c>
      <c r="O288" s="83">
        <v>0</v>
      </c>
      <c r="P288" s="83">
        <v>69.199299999999994</v>
      </c>
    </row>
    <row r="289" spans="2:16" hidden="1">
      <c r="B289" s="79"/>
      <c r="C289" s="79"/>
      <c r="D289" s="77" t="s">
        <v>119</v>
      </c>
      <c r="E289" s="87">
        <v>2005</v>
      </c>
      <c r="F289" s="88">
        <v>8.4677000000000007</v>
      </c>
      <c r="G289" s="88">
        <v>375.80239999999998</v>
      </c>
      <c r="H289" s="88">
        <v>663.51589999999999</v>
      </c>
      <c r="I289" s="88">
        <v>524.51390000000004</v>
      </c>
      <c r="J289" s="88">
        <v>797.24509999999998</v>
      </c>
      <c r="K289" s="88">
        <v>45.962400000000009</v>
      </c>
      <c r="L289" s="88">
        <v>2.6645000000000003</v>
      </c>
      <c r="M289" s="88">
        <v>0</v>
      </c>
      <c r="N289" s="88">
        <v>0</v>
      </c>
      <c r="O289" s="88">
        <v>0</v>
      </c>
      <c r="P289" s="88">
        <v>2418.1718999999985</v>
      </c>
    </row>
    <row r="290" spans="2:16" hidden="1">
      <c r="B290" s="79"/>
      <c r="C290" s="79"/>
      <c r="D290" s="81" t="s">
        <v>119</v>
      </c>
      <c r="E290" s="87">
        <v>2006</v>
      </c>
      <c r="F290" s="88">
        <v>29.167599999999997</v>
      </c>
      <c r="G290" s="88">
        <v>376.11970000000014</v>
      </c>
      <c r="H290" s="88">
        <v>874.70619999999974</v>
      </c>
      <c r="I290" s="88">
        <v>564.3809</v>
      </c>
      <c r="J290" s="88">
        <v>723.0463000000002</v>
      </c>
      <c r="K290" s="88">
        <v>49.974400000000003</v>
      </c>
      <c r="L290" s="88">
        <v>1</v>
      </c>
      <c r="M290" s="88">
        <v>0</v>
      </c>
      <c r="N290" s="88">
        <v>0</v>
      </c>
      <c r="O290" s="88">
        <v>0</v>
      </c>
      <c r="P290" s="88">
        <v>2618.3951000000002</v>
      </c>
    </row>
    <row r="291" spans="2:16" hidden="1">
      <c r="B291" s="79"/>
      <c r="C291" s="79"/>
      <c r="D291" s="81" t="s">
        <v>119</v>
      </c>
      <c r="E291" s="87">
        <v>2007</v>
      </c>
      <c r="F291" s="88">
        <v>35.005199999999988</v>
      </c>
      <c r="G291" s="88">
        <v>348.01340000000005</v>
      </c>
      <c r="H291" s="88">
        <v>1115.6179999999999</v>
      </c>
      <c r="I291" s="88">
        <v>558.67880000000002</v>
      </c>
      <c r="J291" s="88">
        <v>763.05600000000015</v>
      </c>
      <c r="K291" s="88">
        <v>41.443900000000014</v>
      </c>
      <c r="L291" s="88">
        <v>3.2151000000000001</v>
      </c>
      <c r="M291" s="88">
        <v>0</v>
      </c>
      <c r="N291" s="88">
        <v>0</v>
      </c>
      <c r="O291" s="88">
        <v>0</v>
      </c>
      <c r="P291" s="88">
        <v>2865.0304000000006</v>
      </c>
    </row>
    <row r="292" spans="2:16" hidden="1">
      <c r="B292" s="79"/>
      <c r="C292" s="79"/>
      <c r="D292" s="81" t="s">
        <v>119</v>
      </c>
      <c r="E292" s="87">
        <v>2008</v>
      </c>
      <c r="F292" s="88">
        <v>34.315999999999995</v>
      </c>
      <c r="G292" s="88">
        <v>396.66929999999991</v>
      </c>
      <c r="H292" s="88">
        <v>911.24039999999979</v>
      </c>
      <c r="I292" s="88">
        <v>586.18020000000001</v>
      </c>
      <c r="J292" s="88">
        <v>799.42880000000002</v>
      </c>
      <c r="K292" s="88">
        <v>17.399999999999995</v>
      </c>
      <c r="L292" s="88">
        <v>7.9650999999999996</v>
      </c>
      <c r="M292" s="88">
        <v>0</v>
      </c>
      <c r="N292" s="88">
        <v>0</v>
      </c>
      <c r="O292" s="88">
        <v>0</v>
      </c>
      <c r="P292" s="88">
        <v>2753.1998000000012</v>
      </c>
    </row>
    <row r="293" spans="2:16" hidden="1">
      <c r="B293" s="79"/>
      <c r="C293" s="79"/>
      <c r="D293" s="81" t="s">
        <v>119</v>
      </c>
      <c r="E293" s="87">
        <v>2009</v>
      </c>
      <c r="F293" s="88">
        <v>52.894299999999966</v>
      </c>
      <c r="G293" s="88">
        <v>425.8911999999998</v>
      </c>
      <c r="H293" s="88">
        <v>890.37450000000001</v>
      </c>
      <c r="I293" s="88">
        <v>636.35159999999985</v>
      </c>
      <c r="J293" s="88">
        <v>989.3295999999998</v>
      </c>
      <c r="K293" s="88">
        <v>23.970000000000002</v>
      </c>
      <c r="L293" s="88">
        <v>12.8842</v>
      </c>
      <c r="M293" s="88">
        <v>0</v>
      </c>
      <c r="N293" s="88">
        <v>0</v>
      </c>
      <c r="O293" s="88">
        <v>0</v>
      </c>
      <c r="P293" s="88">
        <v>3031.695400000001</v>
      </c>
    </row>
    <row r="294" spans="2:16" hidden="1">
      <c r="B294" s="79"/>
      <c r="C294" s="79"/>
      <c r="D294" s="81" t="s">
        <v>119</v>
      </c>
      <c r="E294" s="87">
        <v>2010</v>
      </c>
      <c r="F294" s="88">
        <v>48.886299999999977</v>
      </c>
      <c r="G294" s="88">
        <v>394.85430000000014</v>
      </c>
      <c r="H294" s="88">
        <v>861.93289999999968</v>
      </c>
      <c r="I294" s="88">
        <v>611.77020000000005</v>
      </c>
      <c r="J294" s="88">
        <v>1188.7477999999999</v>
      </c>
      <c r="K294" s="88">
        <v>7.05</v>
      </c>
      <c r="L294" s="88">
        <v>17.450299999999999</v>
      </c>
      <c r="M294" s="88">
        <v>0</v>
      </c>
      <c r="N294" s="88">
        <v>0</v>
      </c>
      <c r="O294" s="88">
        <v>0</v>
      </c>
      <c r="P294" s="88">
        <v>3130.6918000000005</v>
      </c>
    </row>
    <row r="295" spans="2:16" hidden="1">
      <c r="B295" s="79"/>
      <c r="C295" s="79"/>
      <c r="D295" s="81" t="s">
        <v>119</v>
      </c>
      <c r="E295" s="87">
        <v>2011</v>
      </c>
      <c r="F295" s="88">
        <v>33.734200000000001</v>
      </c>
      <c r="G295" s="88">
        <v>339.09170000000006</v>
      </c>
      <c r="H295" s="88">
        <v>873.9726999999998</v>
      </c>
      <c r="I295" s="88">
        <v>579.30729999999994</v>
      </c>
      <c r="J295" s="88">
        <v>1239.3330999999998</v>
      </c>
      <c r="K295" s="88">
        <v>1.5</v>
      </c>
      <c r="L295" s="88">
        <v>14.5</v>
      </c>
      <c r="M295" s="88">
        <v>0</v>
      </c>
      <c r="N295" s="88">
        <v>0</v>
      </c>
      <c r="O295" s="88">
        <v>0</v>
      </c>
      <c r="P295" s="88">
        <v>3081.4389999999994</v>
      </c>
    </row>
    <row r="296" spans="2:16" hidden="1">
      <c r="B296" s="79"/>
      <c r="C296" s="89"/>
      <c r="D296" s="81" t="s">
        <v>119</v>
      </c>
      <c r="E296" s="82">
        <v>2012</v>
      </c>
      <c r="F296" s="83">
        <v>31</v>
      </c>
      <c r="G296" s="83">
        <v>294.85000000000008</v>
      </c>
      <c r="H296" s="83">
        <v>845.17169999999976</v>
      </c>
      <c r="I296" s="83">
        <v>593.19769999999994</v>
      </c>
      <c r="J296" s="83">
        <v>1231.133</v>
      </c>
      <c r="K296" s="83">
        <v>0</v>
      </c>
      <c r="L296" s="83">
        <v>43.418199999999999</v>
      </c>
      <c r="M296" s="83">
        <v>0</v>
      </c>
      <c r="N296" s="83">
        <v>0</v>
      </c>
      <c r="O296" s="83">
        <v>0</v>
      </c>
      <c r="P296" s="83">
        <v>3038.7706000000007</v>
      </c>
    </row>
    <row r="297" spans="2:16" hidden="1">
      <c r="B297" s="79"/>
      <c r="C297" s="76" t="s">
        <v>184</v>
      </c>
      <c r="D297" s="77" t="s">
        <v>179</v>
      </c>
      <c r="E297" s="85">
        <v>2005</v>
      </c>
      <c r="F297" s="86">
        <v>36.241199999999999</v>
      </c>
      <c r="G297" s="86">
        <v>541.28089999999997</v>
      </c>
      <c r="H297" s="86">
        <v>419.56990000000013</v>
      </c>
      <c r="I297" s="86">
        <v>1464.4231999999995</v>
      </c>
      <c r="J297" s="86">
        <v>1164.2138999999997</v>
      </c>
      <c r="K297" s="86">
        <v>2728.1760999999997</v>
      </c>
      <c r="L297" s="86">
        <v>167.91139999999996</v>
      </c>
      <c r="M297" s="86">
        <v>55.869299999999996</v>
      </c>
      <c r="N297" s="86">
        <v>148.18299999999999</v>
      </c>
      <c r="O297" s="86">
        <v>5.1895999999999995</v>
      </c>
      <c r="P297" s="86">
        <v>6731.0584999999974</v>
      </c>
    </row>
    <row r="298" spans="2:16" hidden="1">
      <c r="B298" s="79"/>
      <c r="C298" s="79"/>
      <c r="D298" s="81" t="s">
        <v>180</v>
      </c>
      <c r="E298" s="87">
        <v>2006</v>
      </c>
      <c r="F298" s="88">
        <v>38.105600000000003</v>
      </c>
      <c r="G298" s="88">
        <v>548.75239999999985</v>
      </c>
      <c r="H298" s="88">
        <v>488.81909999999988</v>
      </c>
      <c r="I298" s="88">
        <v>1618.9113999999997</v>
      </c>
      <c r="J298" s="88">
        <v>1146.7176999999999</v>
      </c>
      <c r="K298" s="88">
        <v>2748.9404</v>
      </c>
      <c r="L298" s="88">
        <v>150.98420000000002</v>
      </c>
      <c r="M298" s="88">
        <v>60.953199999999995</v>
      </c>
      <c r="N298" s="88">
        <v>163.20530000000002</v>
      </c>
      <c r="O298" s="88">
        <v>5.9993999999999996</v>
      </c>
      <c r="P298" s="88">
        <v>6971.3886999999977</v>
      </c>
    </row>
    <row r="299" spans="2:16" hidden="1">
      <c r="B299" s="79"/>
      <c r="C299" s="79"/>
      <c r="D299" s="81" t="s">
        <v>180</v>
      </c>
      <c r="E299" s="87">
        <v>2007</v>
      </c>
      <c r="F299" s="88">
        <v>43.297499999999999</v>
      </c>
      <c r="G299" s="88">
        <v>538.59190000000001</v>
      </c>
      <c r="H299" s="88">
        <v>553.74499999999978</v>
      </c>
      <c r="I299" s="88">
        <v>1651.6789999999992</v>
      </c>
      <c r="J299" s="88">
        <v>1273.9976999999997</v>
      </c>
      <c r="K299" s="88">
        <v>2734.9880999999996</v>
      </c>
      <c r="L299" s="88">
        <v>113.54820000000001</v>
      </c>
      <c r="M299" s="88">
        <v>66.5458</v>
      </c>
      <c r="N299" s="88">
        <v>150.61849999999998</v>
      </c>
      <c r="O299" s="88">
        <v>6.5609999999999999</v>
      </c>
      <c r="P299" s="88">
        <v>7133.5727000000006</v>
      </c>
    </row>
    <row r="300" spans="2:16" hidden="1">
      <c r="B300" s="79"/>
      <c r="C300" s="79"/>
      <c r="D300" s="81" t="s">
        <v>180</v>
      </c>
      <c r="E300" s="87">
        <v>2008</v>
      </c>
      <c r="F300" s="88">
        <v>42.172900000000006</v>
      </c>
      <c r="G300" s="88">
        <v>528.99800000000005</v>
      </c>
      <c r="H300" s="88">
        <v>553.07930000000033</v>
      </c>
      <c r="I300" s="88">
        <v>1522.6403999999991</v>
      </c>
      <c r="J300" s="88">
        <v>1277.5776999999996</v>
      </c>
      <c r="K300" s="88">
        <v>2826.655400000001</v>
      </c>
      <c r="L300" s="88">
        <v>109.53540000000002</v>
      </c>
      <c r="M300" s="88">
        <v>79.783199999999979</v>
      </c>
      <c r="N300" s="88">
        <v>173.83070000000004</v>
      </c>
      <c r="O300" s="88">
        <v>7.3151999999999999</v>
      </c>
      <c r="P300" s="88">
        <v>7121.5881999999983</v>
      </c>
    </row>
    <row r="301" spans="2:16" hidden="1">
      <c r="B301" s="79"/>
      <c r="C301" s="79"/>
      <c r="D301" s="81" t="s">
        <v>180</v>
      </c>
      <c r="E301" s="87">
        <v>2009</v>
      </c>
      <c r="F301" s="88">
        <v>48.737000000000002</v>
      </c>
      <c r="G301" s="88">
        <v>835.79280000000006</v>
      </c>
      <c r="H301" s="88">
        <v>754.8954000000009</v>
      </c>
      <c r="I301" s="88">
        <v>1779.9791000000005</v>
      </c>
      <c r="J301" s="88">
        <v>1437.3825999999999</v>
      </c>
      <c r="K301" s="88">
        <v>3039.9696999999987</v>
      </c>
      <c r="L301" s="88">
        <v>116.30519999999999</v>
      </c>
      <c r="M301" s="88">
        <v>106.128</v>
      </c>
      <c r="N301" s="88">
        <v>216.15010000000001</v>
      </c>
      <c r="O301" s="88">
        <v>4.4353999999999996</v>
      </c>
      <c r="P301" s="88">
        <v>8339.7752999999993</v>
      </c>
    </row>
    <row r="302" spans="2:16" hidden="1">
      <c r="B302" s="79"/>
      <c r="C302" s="79"/>
      <c r="D302" s="81" t="s">
        <v>180</v>
      </c>
      <c r="E302" s="87">
        <v>2010</v>
      </c>
      <c r="F302" s="88">
        <v>49.52259999999999</v>
      </c>
      <c r="G302" s="88">
        <v>722.71950000000015</v>
      </c>
      <c r="H302" s="88">
        <v>953.10950000000071</v>
      </c>
      <c r="I302" s="88">
        <v>1598.9438</v>
      </c>
      <c r="J302" s="88">
        <v>1425.0828000000001</v>
      </c>
      <c r="K302" s="88">
        <v>3233.5076000000004</v>
      </c>
      <c r="L302" s="88">
        <v>147.34979999999999</v>
      </c>
      <c r="M302" s="88">
        <v>110.125</v>
      </c>
      <c r="N302" s="88">
        <v>248.05839999999995</v>
      </c>
      <c r="O302" s="88">
        <v>4.2523999999999997</v>
      </c>
      <c r="P302" s="88">
        <v>8492.6713999999993</v>
      </c>
    </row>
    <row r="303" spans="2:16" hidden="1">
      <c r="B303" s="79"/>
      <c r="C303" s="79"/>
      <c r="D303" s="81" t="s">
        <v>180</v>
      </c>
      <c r="E303" s="87">
        <v>2011</v>
      </c>
      <c r="F303" s="88">
        <v>53.631199999999993</v>
      </c>
      <c r="G303" s="88">
        <v>757.95230000000026</v>
      </c>
      <c r="H303" s="88">
        <v>723.78039999999987</v>
      </c>
      <c r="I303" s="88">
        <v>1589.8111000000004</v>
      </c>
      <c r="J303" s="88">
        <v>1445.8670000000004</v>
      </c>
      <c r="K303" s="88">
        <v>3333.7037999999998</v>
      </c>
      <c r="L303" s="88">
        <v>148.09619999999998</v>
      </c>
      <c r="M303" s="88">
        <v>104.75019999999999</v>
      </c>
      <c r="N303" s="88">
        <v>283.74619999999999</v>
      </c>
      <c r="O303" s="88">
        <v>5.3452999999999999</v>
      </c>
      <c r="P303" s="88">
        <v>8446.683699999996</v>
      </c>
    </row>
    <row r="304" spans="2:16" hidden="1">
      <c r="B304" s="79"/>
      <c r="C304" s="79"/>
      <c r="D304" s="81" t="s">
        <v>180</v>
      </c>
      <c r="E304" s="82">
        <v>2012</v>
      </c>
      <c r="F304" s="83">
        <v>49.088799999999999</v>
      </c>
      <c r="G304" s="83">
        <v>532.36579999999992</v>
      </c>
      <c r="H304" s="83">
        <v>775.77380000000016</v>
      </c>
      <c r="I304" s="83">
        <v>1787.5390000000002</v>
      </c>
      <c r="J304" s="83">
        <v>1551.8738999999996</v>
      </c>
      <c r="K304" s="83">
        <v>3412.9219999999991</v>
      </c>
      <c r="L304" s="83">
        <v>148.07210000000001</v>
      </c>
      <c r="M304" s="83">
        <v>102.87480000000001</v>
      </c>
      <c r="N304" s="83">
        <v>272.44369999999998</v>
      </c>
      <c r="O304" s="83">
        <v>7.0709999999999997</v>
      </c>
      <c r="P304" s="83">
        <v>8640.0249000000003</v>
      </c>
    </row>
    <row r="305" spans="2:16" hidden="1">
      <c r="B305" s="79"/>
      <c r="C305" s="79"/>
      <c r="D305" s="77" t="s">
        <v>180</v>
      </c>
      <c r="E305" s="87">
        <v>2005</v>
      </c>
      <c r="F305" s="88">
        <v>0</v>
      </c>
      <c r="G305" s="88">
        <v>8.1006</v>
      </c>
      <c r="H305" s="88">
        <v>10.549900000000001</v>
      </c>
      <c r="I305" s="88">
        <v>262.2817</v>
      </c>
      <c r="J305" s="88">
        <v>691.92210000000023</v>
      </c>
      <c r="K305" s="88">
        <v>960.84179999999969</v>
      </c>
      <c r="L305" s="88">
        <v>42.333300000000015</v>
      </c>
      <c r="M305" s="88">
        <v>20.25</v>
      </c>
      <c r="N305" s="88">
        <v>30.642999999999997</v>
      </c>
      <c r="O305" s="88">
        <v>0.43779999999999997</v>
      </c>
      <c r="P305" s="88">
        <v>2027.3602000000001</v>
      </c>
    </row>
    <row r="306" spans="2:16" hidden="1">
      <c r="B306" s="79"/>
      <c r="C306" s="79"/>
      <c r="D306" s="81" t="s">
        <v>179</v>
      </c>
      <c r="E306" s="87">
        <v>2006</v>
      </c>
      <c r="F306" s="88">
        <v>0</v>
      </c>
      <c r="G306" s="88">
        <v>7.7012000000000018</v>
      </c>
      <c r="H306" s="88">
        <v>15.008299999999998</v>
      </c>
      <c r="I306" s="88">
        <v>317.33129999999994</v>
      </c>
      <c r="J306" s="88">
        <v>519.37930000000006</v>
      </c>
      <c r="K306" s="88">
        <v>704.55880000000002</v>
      </c>
      <c r="L306" s="88">
        <v>39.525000000000006</v>
      </c>
      <c r="M306" s="88">
        <v>22.774999999999999</v>
      </c>
      <c r="N306" s="88">
        <v>23.945</v>
      </c>
      <c r="O306" s="88">
        <v>0.875</v>
      </c>
      <c r="P306" s="88">
        <v>1651.0988999999997</v>
      </c>
    </row>
    <row r="307" spans="2:16" hidden="1">
      <c r="B307" s="79"/>
      <c r="C307" s="79"/>
      <c r="D307" s="81" t="s">
        <v>179</v>
      </c>
      <c r="E307" s="87">
        <v>2007</v>
      </c>
      <c r="F307" s="88">
        <v>0</v>
      </c>
      <c r="G307" s="88">
        <v>2.2002000000000002</v>
      </c>
      <c r="H307" s="88">
        <v>8.8999999999999986</v>
      </c>
      <c r="I307" s="88">
        <v>275.61209999999994</v>
      </c>
      <c r="J307" s="88">
        <v>458.10079999999994</v>
      </c>
      <c r="K307" s="88">
        <v>605.17840000000012</v>
      </c>
      <c r="L307" s="88">
        <v>51.19169999999999</v>
      </c>
      <c r="M307" s="88">
        <v>29.125</v>
      </c>
      <c r="N307" s="88">
        <v>20.535</v>
      </c>
      <c r="O307" s="88">
        <v>1</v>
      </c>
      <c r="P307" s="88">
        <v>1451.8431999999993</v>
      </c>
    </row>
    <row r="308" spans="2:16" hidden="1">
      <c r="B308" s="79"/>
      <c r="C308" s="79"/>
      <c r="D308" s="81" t="s">
        <v>179</v>
      </c>
      <c r="E308" s="87">
        <v>2008</v>
      </c>
      <c r="F308" s="88">
        <v>0</v>
      </c>
      <c r="G308" s="88">
        <v>2.5</v>
      </c>
      <c r="H308" s="88">
        <v>15.349999999999998</v>
      </c>
      <c r="I308" s="88">
        <v>179.14230000000001</v>
      </c>
      <c r="J308" s="88">
        <v>425.0104</v>
      </c>
      <c r="K308" s="88">
        <v>574.85740000000021</v>
      </c>
      <c r="L308" s="88">
        <v>78.533500000000004</v>
      </c>
      <c r="M308" s="88">
        <v>38.450000000000003</v>
      </c>
      <c r="N308" s="88">
        <v>23.685000000000002</v>
      </c>
      <c r="O308" s="88">
        <v>1.2918000000000001</v>
      </c>
      <c r="P308" s="88">
        <v>1338.8203999999994</v>
      </c>
    </row>
    <row r="309" spans="2:16" hidden="1">
      <c r="B309" s="79"/>
      <c r="C309" s="79"/>
      <c r="D309" s="81" t="s">
        <v>179</v>
      </c>
      <c r="E309" s="87">
        <v>2009</v>
      </c>
      <c r="F309" s="88">
        <v>0</v>
      </c>
      <c r="G309" s="88">
        <v>2.5001000000000002</v>
      </c>
      <c r="H309" s="88">
        <v>17.525000000000002</v>
      </c>
      <c r="I309" s="88">
        <v>115.51839999999999</v>
      </c>
      <c r="J309" s="88">
        <v>456.27049999999986</v>
      </c>
      <c r="K309" s="88">
        <v>645.69789999999944</v>
      </c>
      <c r="L309" s="88">
        <v>40.692599999999999</v>
      </c>
      <c r="M309" s="88">
        <v>51.375</v>
      </c>
      <c r="N309" s="88">
        <v>27.875</v>
      </c>
      <c r="O309" s="88">
        <v>0.3332</v>
      </c>
      <c r="P309" s="88">
        <v>1357.7876999999992</v>
      </c>
    </row>
    <row r="310" spans="2:16" hidden="1">
      <c r="B310" s="79"/>
      <c r="C310" s="79"/>
      <c r="D310" s="81" t="s">
        <v>179</v>
      </c>
      <c r="E310" s="87">
        <v>2010</v>
      </c>
      <c r="F310" s="88">
        <v>0</v>
      </c>
      <c r="G310" s="88">
        <v>2</v>
      </c>
      <c r="H310" s="88">
        <v>10.125</v>
      </c>
      <c r="I310" s="88">
        <v>87.168499999999995</v>
      </c>
      <c r="J310" s="88">
        <v>443.26960000000003</v>
      </c>
      <c r="K310" s="88">
        <v>747.64239999999961</v>
      </c>
      <c r="L310" s="88">
        <v>34.107399999999998</v>
      </c>
      <c r="M310" s="88">
        <v>66.125</v>
      </c>
      <c r="N310" s="88">
        <v>31.645099999999999</v>
      </c>
      <c r="O310" s="88">
        <v>0</v>
      </c>
      <c r="P310" s="88">
        <v>1422.0829999999994</v>
      </c>
    </row>
    <row r="311" spans="2:16" hidden="1">
      <c r="B311" s="79"/>
      <c r="C311" s="79"/>
      <c r="D311" s="81" t="s">
        <v>179</v>
      </c>
      <c r="E311" s="87">
        <v>2011</v>
      </c>
      <c r="F311" s="88">
        <v>0</v>
      </c>
      <c r="G311" s="88">
        <v>0.5</v>
      </c>
      <c r="H311" s="88">
        <v>5.375</v>
      </c>
      <c r="I311" s="88">
        <v>71.067499999999995</v>
      </c>
      <c r="J311" s="88">
        <v>513.06520000000012</v>
      </c>
      <c r="K311" s="88">
        <v>848.62009999999998</v>
      </c>
      <c r="L311" s="88">
        <v>76.233399999999989</v>
      </c>
      <c r="M311" s="88">
        <v>65.458399999999997</v>
      </c>
      <c r="N311" s="88">
        <v>26.875</v>
      </c>
      <c r="O311" s="88">
        <v>0</v>
      </c>
      <c r="P311" s="88">
        <v>1607.1946</v>
      </c>
    </row>
    <row r="312" spans="2:16" hidden="1">
      <c r="B312" s="79"/>
      <c r="C312" s="79"/>
      <c r="D312" s="81" t="s">
        <v>179</v>
      </c>
      <c r="E312" s="82">
        <v>2012</v>
      </c>
      <c r="F312" s="83">
        <v>0</v>
      </c>
      <c r="G312" s="83">
        <v>0</v>
      </c>
      <c r="H312" s="83">
        <v>4.375</v>
      </c>
      <c r="I312" s="83">
        <v>90.105800000000002</v>
      </c>
      <c r="J312" s="83">
        <v>576.43309999999985</v>
      </c>
      <c r="K312" s="83">
        <v>808.60620000000017</v>
      </c>
      <c r="L312" s="83">
        <v>104.9876</v>
      </c>
      <c r="M312" s="83">
        <v>78.416600000000003</v>
      </c>
      <c r="N312" s="83">
        <v>37.082000000000001</v>
      </c>
      <c r="O312" s="83">
        <v>0</v>
      </c>
      <c r="P312" s="83">
        <v>1700.0062999999996</v>
      </c>
    </row>
    <row r="313" spans="2:16" hidden="1">
      <c r="B313" s="79"/>
      <c r="C313" s="79"/>
      <c r="D313" s="77" t="s">
        <v>119</v>
      </c>
      <c r="E313" s="87">
        <v>2005</v>
      </c>
      <c r="F313" s="88">
        <v>36.241199999999999</v>
      </c>
      <c r="G313" s="88">
        <v>549.38149999999996</v>
      </c>
      <c r="H313" s="88">
        <v>430.11980000000011</v>
      </c>
      <c r="I313" s="88">
        <v>1726.7048999999995</v>
      </c>
      <c r="J313" s="88">
        <v>1856.136</v>
      </c>
      <c r="K313" s="88">
        <v>3689.0178999999994</v>
      </c>
      <c r="L313" s="88">
        <v>210.24469999999997</v>
      </c>
      <c r="M313" s="88">
        <v>76.119299999999996</v>
      </c>
      <c r="N313" s="88">
        <v>178.82599999999999</v>
      </c>
      <c r="O313" s="88">
        <v>5.6273999999999997</v>
      </c>
      <c r="P313" s="88">
        <v>8758.4186999999984</v>
      </c>
    </row>
    <row r="314" spans="2:16" hidden="1">
      <c r="B314" s="79"/>
      <c r="C314" s="79"/>
      <c r="D314" s="81" t="s">
        <v>119</v>
      </c>
      <c r="E314" s="87">
        <v>2006</v>
      </c>
      <c r="F314" s="88">
        <v>38.105600000000003</v>
      </c>
      <c r="G314" s="88">
        <v>556.45359999999982</v>
      </c>
      <c r="H314" s="88">
        <v>503.8273999999999</v>
      </c>
      <c r="I314" s="88">
        <v>1936.2426999999998</v>
      </c>
      <c r="J314" s="88">
        <v>1666.097</v>
      </c>
      <c r="K314" s="88">
        <v>3453.4992000000002</v>
      </c>
      <c r="L314" s="88">
        <v>190.50920000000002</v>
      </c>
      <c r="M314" s="88">
        <v>83.728199999999987</v>
      </c>
      <c r="N314" s="88">
        <v>187.15030000000002</v>
      </c>
      <c r="O314" s="88">
        <v>6.8743999999999996</v>
      </c>
      <c r="P314" s="88">
        <v>8622.4875999999967</v>
      </c>
    </row>
    <row r="315" spans="2:16" hidden="1">
      <c r="B315" s="79"/>
      <c r="C315" s="79"/>
      <c r="D315" s="81" t="s">
        <v>119</v>
      </c>
      <c r="E315" s="87">
        <v>2007</v>
      </c>
      <c r="F315" s="88">
        <v>43.297499999999999</v>
      </c>
      <c r="G315" s="88">
        <v>540.7921</v>
      </c>
      <c r="H315" s="88">
        <v>562.64499999999975</v>
      </c>
      <c r="I315" s="88">
        <v>1927.291099999999</v>
      </c>
      <c r="J315" s="88">
        <v>1732.0984999999996</v>
      </c>
      <c r="K315" s="88">
        <v>3340.1664999999998</v>
      </c>
      <c r="L315" s="88">
        <v>164.73990000000001</v>
      </c>
      <c r="M315" s="88">
        <v>95.6708</v>
      </c>
      <c r="N315" s="88">
        <v>171.15349999999998</v>
      </c>
      <c r="O315" s="88">
        <v>7.5609999999999999</v>
      </c>
      <c r="P315" s="88">
        <v>8585.4159</v>
      </c>
    </row>
    <row r="316" spans="2:16" hidden="1">
      <c r="B316" s="79"/>
      <c r="C316" s="79"/>
      <c r="D316" s="81" t="s">
        <v>119</v>
      </c>
      <c r="E316" s="87">
        <v>2008</v>
      </c>
      <c r="F316" s="88">
        <v>42.172900000000006</v>
      </c>
      <c r="G316" s="88">
        <v>531.49800000000005</v>
      </c>
      <c r="H316" s="88">
        <v>568.42930000000035</v>
      </c>
      <c r="I316" s="88">
        <v>1701.7826999999991</v>
      </c>
      <c r="J316" s="88">
        <v>1702.5880999999995</v>
      </c>
      <c r="K316" s="88">
        <v>3401.5128000000013</v>
      </c>
      <c r="L316" s="88">
        <v>188.06890000000004</v>
      </c>
      <c r="M316" s="88">
        <v>118.23319999999998</v>
      </c>
      <c r="N316" s="88">
        <v>197.51570000000004</v>
      </c>
      <c r="O316" s="88">
        <v>8.6069999999999993</v>
      </c>
      <c r="P316" s="88">
        <v>8460.408599999997</v>
      </c>
    </row>
    <row r="317" spans="2:16" hidden="1">
      <c r="B317" s="79"/>
      <c r="C317" s="79"/>
      <c r="D317" s="81" t="s">
        <v>119</v>
      </c>
      <c r="E317" s="87">
        <v>2009</v>
      </c>
      <c r="F317" s="88">
        <v>48.737000000000002</v>
      </c>
      <c r="G317" s="88">
        <v>838.29290000000003</v>
      </c>
      <c r="H317" s="88">
        <v>772.42040000000088</v>
      </c>
      <c r="I317" s="88">
        <v>1895.4975000000004</v>
      </c>
      <c r="J317" s="88">
        <v>1893.6530999999998</v>
      </c>
      <c r="K317" s="88">
        <v>3685.6675999999979</v>
      </c>
      <c r="L317" s="88">
        <v>156.99779999999998</v>
      </c>
      <c r="M317" s="88">
        <v>157.50299999999999</v>
      </c>
      <c r="N317" s="88">
        <v>244.02510000000001</v>
      </c>
      <c r="O317" s="88">
        <v>4.7685999999999993</v>
      </c>
      <c r="P317" s="88">
        <v>9697.5629999999983</v>
      </c>
    </row>
    <row r="318" spans="2:16" hidden="1">
      <c r="B318" s="79"/>
      <c r="C318" s="79"/>
      <c r="D318" s="81" t="s">
        <v>119</v>
      </c>
      <c r="E318" s="87">
        <v>2010</v>
      </c>
      <c r="F318" s="88">
        <v>49.52259999999999</v>
      </c>
      <c r="G318" s="88">
        <v>724.71950000000015</v>
      </c>
      <c r="H318" s="88">
        <v>963.23450000000071</v>
      </c>
      <c r="I318" s="88">
        <v>1686.1123</v>
      </c>
      <c r="J318" s="88">
        <v>1868.3524000000002</v>
      </c>
      <c r="K318" s="88">
        <v>3981.15</v>
      </c>
      <c r="L318" s="88">
        <v>181.4572</v>
      </c>
      <c r="M318" s="88">
        <v>176.25</v>
      </c>
      <c r="N318" s="88">
        <v>279.70349999999996</v>
      </c>
      <c r="O318" s="88">
        <v>4.2523999999999997</v>
      </c>
      <c r="P318" s="88">
        <v>9914.754399999998</v>
      </c>
    </row>
    <row r="319" spans="2:16" hidden="1">
      <c r="B319" s="79"/>
      <c r="C319" s="79"/>
      <c r="D319" s="81" t="s">
        <v>119</v>
      </c>
      <c r="E319" s="87">
        <v>2011</v>
      </c>
      <c r="F319" s="88">
        <v>53.631199999999993</v>
      </c>
      <c r="G319" s="88">
        <v>758.45230000000026</v>
      </c>
      <c r="H319" s="88">
        <v>729.15539999999987</v>
      </c>
      <c r="I319" s="88">
        <v>1660.8786000000005</v>
      </c>
      <c r="J319" s="88">
        <v>1958.9322000000006</v>
      </c>
      <c r="K319" s="88">
        <v>4182.3238999999994</v>
      </c>
      <c r="L319" s="88">
        <v>224.32959999999997</v>
      </c>
      <c r="M319" s="88">
        <v>170.20859999999999</v>
      </c>
      <c r="N319" s="88">
        <v>310.62119999999999</v>
      </c>
      <c r="O319" s="88">
        <v>5.3452999999999999</v>
      </c>
      <c r="P319" s="88">
        <v>10053.878299999997</v>
      </c>
    </row>
    <row r="320" spans="2:16" hidden="1">
      <c r="B320" s="79"/>
      <c r="C320" s="89"/>
      <c r="D320" s="81" t="s">
        <v>119</v>
      </c>
      <c r="E320" s="82">
        <v>2012</v>
      </c>
      <c r="F320" s="83">
        <v>49.088799999999999</v>
      </c>
      <c r="G320" s="83">
        <v>532.36579999999992</v>
      </c>
      <c r="H320" s="83">
        <v>780.14880000000016</v>
      </c>
      <c r="I320" s="83">
        <v>1877.6448000000003</v>
      </c>
      <c r="J320" s="83">
        <v>2128.3069999999993</v>
      </c>
      <c r="K320" s="83">
        <v>4221.5281999999988</v>
      </c>
      <c r="L320" s="83">
        <v>253.05970000000002</v>
      </c>
      <c r="M320" s="83">
        <v>181.29140000000001</v>
      </c>
      <c r="N320" s="83">
        <v>309.52569999999997</v>
      </c>
      <c r="O320" s="83">
        <v>7.0709999999999997</v>
      </c>
      <c r="P320" s="83">
        <v>10340.031199999999</v>
      </c>
    </row>
    <row r="321" spans="2:16" ht="25.5" hidden="1">
      <c r="B321" s="79"/>
      <c r="C321" s="76" t="s">
        <v>185</v>
      </c>
      <c r="D321" s="77" t="s">
        <v>179</v>
      </c>
      <c r="E321" s="85">
        <v>2005</v>
      </c>
      <c r="F321" s="86">
        <v>47.672900000000006</v>
      </c>
      <c r="G321" s="86">
        <v>675.84299999999905</v>
      </c>
      <c r="H321" s="86">
        <v>576.7652999999998</v>
      </c>
      <c r="I321" s="86">
        <v>951.86070000000007</v>
      </c>
      <c r="J321" s="86">
        <v>1199.3504</v>
      </c>
      <c r="K321" s="86">
        <v>1300.5502000000006</v>
      </c>
      <c r="L321" s="86">
        <v>130.89099999999996</v>
      </c>
      <c r="M321" s="86">
        <v>0</v>
      </c>
      <c r="N321" s="86">
        <v>0</v>
      </c>
      <c r="O321" s="86">
        <v>0</v>
      </c>
      <c r="P321" s="86">
        <v>4882.9334999999974</v>
      </c>
    </row>
    <row r="322" spans="2:16" hidden="1">
      <c r="B322" s="79"/>
      <c r="C322" s="79"/>
      <c r="D322" s="81" t="s">
        <v>180</v>
      </c>
      <c r="E322" s="87">
        <v>2006</v>
      </c>
      <c r="F322" s="88">
        <v>39.165399999999998</v>
      </c>
      <c r="G322" s="88">
        <v>720.10959999999977</v>
      </c>
      <c r="H322" s="88">
        <v>498.6339999999999</v>
      </c>
      <c r="I322" s="88">
        <v>974.66790000000003</v>
      </c>
      <c r="J322" s="88">
        <v>1248.6276999999998</v>
      </c>
      <c r="K322" s="88">
        <v>1306.1613000000002</v>
      </c>
      <c r="L322" s="88">
        <v>108.91869999999996</v>
      </c>
      <c r="M322" s="88">
        <v>0</v>
      </c>
      <c r="N322" s="88">
        <v>0</v>
      </c>
      <c r="O322" s="88">
        <v>0</v>
      </c>
      <c r="P322" s="88">
        <v>4896.2845999999954</v>
      </c>
    </row>
    <row r="323" spans="2:16" hidden="1">
      <c r="B323" s="79"/>
      <c r="C323" s="79"/>
      <c r="D323" s="81" t="s">
        <v>180</v>
      </c>
      <c r="E323" s="87">
        <v>2007</v>
      </c>
      <c r="F323" s="88">
        <v>46.971600000000009</v>
      </c>
      <c r="G323" s="88">
        <v>575.14120000000037</v>
      </c>
      <c r="H323" s="88">
        <v>510.04879999999991</v>
      </c>
      <c r="I323" s="88">
        <v>1030.2881000000002</v>
      </c>
      <c r="J323" s="88">
        <v>1256.3862000000001</v>
      </c>
      <c r="K323" s="88">
        <v>1427.8158999999996</v>
      </c>
      <c r="L323" s="88">
        <v>118.0163999999999</v>
      </c>
      <c r="M323" s="88">
        <v>0</v>
      </c>
      <c r="N323" s="88">
        <v>0</v>
      </c>
      <c r="O323" s="88">
        <v>0</v>
      </c>
      <c r="P323" s="88">
        <v>4964.6682000000001</v>
      </c>
    </row>
    <row r="324" spans="2:16" hidden="1">
      <c r="B324" s="79"/>
      <c r="C324" s="79"/>
      <c r="D324" s="81" t="s">
        <v>180</v>
      </c>
      <c r="E324" s="87">
        <v>2008</v>
      </c>
      <c r="F324" s="88">
        <v>45.830300000000001</v>
      </c>
      <c r="G324" s="88">
        <v>538.2523000000001</v>
      </c>
      <c r="H324" s="88">
        <v>743.24439999999947</v>
      </c>
      <c r="I324" s="88">
        <v>1002.6989000000002</v>
      </c>
      <c r="J324" s="88">
        <v>1159.3460000000002</v>
      </c>
      <c r="K324" s="88">
        <v>1444.7852000000003</v>
      </c>
      <c r="L324" s="88">
        <v>106.50059999999995</v>
      </c>
      <c r="M324" s="88">
        <v>0</v>
      </c>
      <c r="N324" s="88">
        <v>0</v>
      </c>
      <c r="O324" s="88">
        <v>0</v>
      </c>
      <c r="P324" s="88">
        <v>5040.6577000000016</v>
      </c>
    </row>
    <row r="325" spans="2:16" hidden="1">
      <c r="B325" s="79"/>
      <c r="C325" s="79"/>
      <c r="D325" s="81" t="s">
        <v>180</v>
      </c>
      <c r="E325" s="87">
        <v>2009</v>
      </c>
      <c r="F325" s="88">
        <v>47.625</v>
      </c>
      <c r="G325" s="88">
        <v>575.22500000000002</v>
      </c>
      <c r="H325" s="88">
        <v>912.60689999999954</v>
      </c>
      <c r="I325" s="88">
        <v>957.56989999999996</v>
      </c>
      <c r="J325" s="88">
        <v>1186.1979999999999</v>
      </c>
      <c r="K325" s="88">
        <v>1653.2641000000003</v>
      </c>
      <c r="L325" s="88">
        <v>111.40940000000001</v>
      </c>
      <c r="M325" s="88">
        <v>0</v>
      </c>
      <c r="N325" s="88">
        <v>0</v>
      </c>
      <c r="O325" s="88">
        <v>0</v>
      </c>
      <c r="P325" s="88">
        <v>5443.8983000000017</v>
      </c>
    </row>
    <row r="326" spans="2:16" hidden="1">
      <c r="B326" s="79"/>
      <c r="C326" s="79"/>
      <c r="D326" s="81" t="s">
        <v>180</v>
      </c>
      <c r="E326" s="87">
        <v>2010</v>
      </c>
      <c r="F326" s="88">
        <v>36.61</v>
      </c>
      <c r="G326" s="88">
        <v>553.66810000000009</v>
      </c>
      <c r="H326" s="88">
        <v>705.90840000000014</v>
      </c>
      <c r="I326" s="88">
        <v>803.72199999999964</v>
      </c>
      <c r="J326" s="88">
        <v>1187.0557000000003</v>
      </c>
      <c r="K326" s="88">
        <v>1851.5000000000016</v>
      </c>
      <c r="L326" s="88">
        <v>136.29920000000004</v>
      </c>
      <c r="M326" s="88">
        <v>0</v>
      </c>
      <c r="N326" s="88">
        <v>0</v>
      </c>
      <c r="O326" s="88">
        <v>0</v>
      </c>
      <c r="P326" s="88">
        <v>5274.7634000000025</v>
      </c>
    </row>
    <row r="327" spans="2:16" hidden="1">
      <c r="B327" s="79"/>
      <c r="C327" s="79"/>
      <c r="D327" s="81" t="s">
        <v>180</v>
      </c>
      <c r="E327" s="87">
        <v>2011</v>
      </c>
      <c r="F327" s="88">
        <v>34.791399999999996</v>
      </c>
      <c r="G327" s="88">
        <v>560.91190000000017</v>
      </c>
      <c r="H327" s="88">
        <v>541.27639999999997</v>
      </c>
      <c r="I327" s="88">
        <v>592.48570000000018</v>
      </c>
      <c r="J327" s="88">
        <v>1002.6578000000003</v>
      </c>
      <c r="K327" s="88">
        <v>1968.5127000000011</v>
      </c>
      <c r="L327" s="88">
        <v>106.94269999999997</v>
      </c>
      <c r="M327" s="88">
        <v>0</v>
      </c>
      <c r="N327" s="88">
        <v>0</v>
      </c>
      <c r="O327" s="88">
        <v>0</v>
      </c>
      <c r="P327" s="88">
        <v>4807.5785999999989</v>
      </c>
    </row>
    <row r="328" spans="2:16" hidden="1">
      <c r="B328" s="79"/>
      <c r="C328" s="79"/>
      <c r="D328" s="81" t="s">
        <v>180</v>
      </c>
      <c r="E328" s="82">
        <v>2012</v>
      </c>
      <c r="F328" s="83">
        <v>48.706699999999998</v>
      </c>
      <c r="G328" s="83">
        <v>770.06650000000025</v>
      </c>
      <c r="H328" s="83">
        <v>640.65089999999987</v>
      </c>
      <c r="I328" s="83">
        <v>574.70920000000001</v>
      </c>
      <c r="J328" s="83">
        <v>1066.7046</v>
      </c>
      <c r="K328" s="83">
        <v>2151.1339000000007</v>
      </c>
      <c r="L328" s="83">
        <v>138.88440000000003</v>
      </c>
      <c r="M328" s="83">
        <v>0</v>
      </c>
      <c r="N328" s="83">
        <v>0</v>
      </c>
      <c r="O328" s="83">
        <v>0</v>
      </c>
      <c r="P328" s="83">
        <v>5390.8562000000011</v>
      </c>
    </row>
    <row r="329" spans="2:16" hidden="1">
      <c r="B329" s="79"/>
      <c r="C329" s="79"/>
      <c r="D329" s="77" t="s">
        <v>180</v>
      </c>
      <c r="E329" s="87">
        <v>2005</v>
      </c>
      <c r="F329" s="88">
        <v>0</v>
      </c>
      <c r="G329" s="88">
        <v>122.10299999999999</v>
      </c>
      <c r="H329" s="88">
        <v>56.408199999999994</v>
      </c>
      <c r="I329" s="88">
        <v>39.917400000000015</v>
      </c>
      <c r="J329" s="88">
        <v>339.16959999999995</v>
      </c>
      <c r="K329" s="88">
        <v>199.67350000000002</v>
      </c>
      <c r="L329" s="88">
        <v>14.785000000000002</v>
      </c>
      <c r="M329" s="88">
        <v>0</v>
      </c>
      <c r="N329" s="88">
        <v>0</v>
      </c>
      <c r="O329" s="88">
        <v>0</v>
      </c>
      <c r="P329" s="88">
        <v>772.05670000000021</v>
      </c>
    </row>
    <row r="330" spans="2:16" hidden="1">
      <c r="B330" s="79"/>
      <c r="C330" s="79"/>
      <c r="D330" s="81" t="s">
        <v>179</v>
      </c>
      <c r="E330" s="87">
        <v>2006</v>
      </c>
      <c r="F330" s="88">
        <v>0</v>
      </c>
      <c r="G330" s="88">
        <v>111.17770000000003</v>
      </c>
      <c r="H330" s="88">
        <v>35.840200000000003</v>
      </c>
      <c r="I330" s="88">
        <v>53.413699999999999</v>
      </c>
      <c r="J330" s="88">
        <v>281.80860000000001</v>
      </c>
      <c r="K330" s="88">
        <v>140.4265</v>
      </c>
      <c r="L330" s="88">
        <v>18.9191</v>
      </c>
      <c r="M330" s="88">
        <v>0</v>
      </c>
      <c r="N330" s="88">
        <v>0</v>
      </c>
      <c r="O330" s="88">
        <v>0</v>
      </c>
      <c r="P330" s="88">
        <v>641.58580000000018</v>
      </c>
    </row>
    <row r="331" spans="2:16" hidden="1">
      <c r="B331" s="79"/>
      <c r="C331" s="79"/>
      <c r="D331" s="81" t="s">
        <v>179</v>
      </c>
      <c r="E331" s="87">
        <v>2007</v>
      </c>
      <c r="F331" s="88">
        <v>0</v>
      </c>
      <c r="G331" s="88">
        <v>3.1082000000000005</v>
      </c>
      <c r="H331" s="88">
        <v>15.785499999999999</v>
      </c>
      <c r="I331" s="88">
        <v>151.60919999999996</v>
      </c>
      <c r="J331" s="88">
        <v>215.81820000000005</v>
      </c>
      <c r="K331" s="88">
        <v>104.52440000000001</v>
      </c>
      <c r="L331" s="88">
        <v>21.045299999999997</v>
      </c>
      <c r="M331" s="88">
        <v>0</v>
      </c>
      <c r="N331" s="88">
        <v>0</v>
      </c>
      <c r="O331" s="88">
        <v>0</v>
      </c>
      <c r="P331" s="88">
        <v>511.89080000000001</v>
      </c>
    </row>
    <row r="332" spans="2:16" hidden="1">
      <c r="B332" s="79"/>
      <c r="C332" s="79"/>
      <c r="D332" s="81" t="s">
        <v>179</v>
      </c>
      <c r="E332" s="87">
        <v>2008</v>
      </c>
      <c r="F332" s="88">
        <v>0</v>
      </c>
      <c r="G332" s="88">
        <v>2.8085000000000004</v>
      </c>
      <c r="H332" s="88">
        <v>8.8888999999999978</v>
      </c>
      <c r="I332" s="88">
        <v>194.92220000000003</v>
      </c>
      <c r="J332" s="88">
        <v>174.05390000000003</v>
      </c>
      <c r="K332" s="88">
        <v>89.231399999999994</v>
      </c>
      <c r="L332" s="88">
        <v>24.270199999999999</v>
      </c>
      <c r="M332" s="88">
        <v>0</v>
      </c>
      <c r="N332" s="88">
        <v>0</v>
      </c>
      <c r="O332" s="88">
        <v>0</v>
      </c>
      <c r="P332" s="88">
        <v>494.17510000000004</v>
      </c>
    </row>
    <row r="333" spans="2:16" hidden="1">
      <c r="B333" s="79"/>
      <c r="C333" s="79"/>
      <c r="D333" s="81" t="s">
        <v>179</v>
      </c>
      <c r="E333" s="87">
        <v>2009</v>
      </c>
      <c r="F333" s="88">
        <v>0.25</v>
      </c>
      <c r="G333" s="88">
        <v>2.9334000000000007</v>
      </c>
      <c r="H333" s="88">
        <v>19.887699999999999</v>
      </c>
      <c r="I333" s="88">
        <v>202.60219999999998</v>
      </c>
      <c r="J333" s="88">
        <v>212.1311</v>
      </c>
      <c r="K333" s="88">
        <v>109.66390000000001</v>
      </c>
      <c r="L333" s="88">
        <v>45.561599999999991</v>
      </c>
      <c r="M333" s="88">
        <v>0</v>
      </c>
      <c r="N333" s="88">
        <v>0</v>
      </c>
      <c r="O333" s="88">
        <v>0</v>
      </c>
      <c r="P333" s="88">
        <v>593.0299</v>
      </c>
    </row>
    <row r="334" spans="2:16" hidden="1">
      <c r="B334" s="79"/>
      <c r="C334" s="79"/>
      <c r="D334" s="81" t="s">
        <v>179</v>
      </c>
      <c r="E334" s="87">
        <v>2010</v>
      </c>
      <c r="F334" s="88">
        <v>0</v>
      </c>
      <c r="G334" s="88">
        <v>0.64169999999999994</v>
      </c>
      <c r="H334" s="88">
        <v>28.335899999999999</v>
      </c>
      <c r="I334" s="88">
        <v>206.92280000000008</v>
      </c>
      <c r="J334" s="88">
        <v>232.36950000000002</v>
      </c>
      <c r="K334" s="88">
        <v>171.2627</v>
      </c>
      <c r="L334" s="88">
        <v>56.103999999999999</v>
      </c>
      <c r="M334" s="88">
        <v>0</v>
      </c>
      <c r="N334" s="88">
        <v>0</v>
      </c>
      <c r="O334" s="88">
        <v>0</v>
      </c>
      <c r="P334" s="88">
        <v>695.63659999999959</v>
      </c>
    </row>
    <row r="335" spans="2:16" hidden="1">
      <c r="B335" s="79"/>
      <c r="C335" s="79"/>
      <c r="D335" s="81" t="s">
        <v>179</v>
      </c>
      <c r="E335" s="87">
        <v>2011</v>
      </c>
      <c r="F335" s="88">
        <v>0</v>
      </c>
      <c r="G335" s="88">
        <v>0</v>
      </c>
      <c r="H335" s="88">
        <v>19.575700000000001</v>
      </c>
      <c r="I335" s="88">
        <v>121.8165</v>
      </c>
      <c r="J335" s="88">
        <v>184.20240000000004</v>
      </c>
      <c r="K335" s="88">
        <v>182.60219999999998</v>
      </c>
      <c r="L335" s="88">
        <v>31.014500000000002</v>
      </c>
      <c r="M335" s="88">
        <v>0</v>
      </c>
      <c r="N335" s="88">
        <v>0</v>
      </c>
      <c r="O335" s="88">
        <v>0</v>
      </c>
      <c r="P335" s="88">
        <v>539.21130000000028</v>
      </c>
    </row>
    <row r="336" spans="2:16" hidden="1">
      <c r="B336" s="79"/>
      <c r="C336" s="79"/>
      <c r="D336" s="81" t="s">
        <v>179</v>
      </c>
      <c r="E336" s="82">
        <v>2012</v>
      </c>
      <c r="F336" s="83">
        <v>0</v>
      </c>
      <c r="G336" s="83">
        <v>0.39999999999999997</v>
      </c>
      <c r="H336" s="83">
        <v>19.1967</v>
      </c>
      <c r="I336" s="83">
        <v>99.165599999999998</v>
      </c>
      <c r="J336" s="83">
        <v>158.45280000000002</v>
      </c>
      <c r="K336" s="83">
        <v>197.31619999999998</v>
      </c>
      <c r="L336" s="83">
        <v>59.598700000000001</v>
      </c>
      <c r="M336" s="83">
        <v>0</v>
      </c>
      <c r="N336" s="83">
        <v>0</v>
      </c>
      <c r="O336" s="83">
        <v>0</v>
      </c>
      <c r="P336" s="83">
        <v>534.13000000000011</v>
      </c>
    </row>
    <row r="337" spans="2:16" hidden="1">
      <c r="B337" s="79"/>
      <c r="C337" s="79"/>
      <c r="D337" s="77" t="s">
        <v>119</v>
      </c>
      <c r="E337" s="87">
        <v>2005</v>
      </c>
      <c r="F337" s="88">
        <v>47.672900000000006</v>
      </c>
      <c r="G337" s="88">
        <v>797.945999999999</v>
      </c>
      <c r="H337" s="88">
        <v>633.17349999999976</v>
      </c>
      <c r="I337" s="88">
        <v>991.77810000000011</v>
      </c>
      <c r="J337" s="88">
        <v>1538.52</v>
      </c>
      <c r="K337" s="88">
        <v>1500.2237000000007</v>
      </c>
      <c r="L337" s="88">
        <v>145.67599999999996</v>
      </c>
      <c r="M337" s="88">
        <v>0</v>
      </c>
      <c r="N337" s="88">
        <v>0</v>
      </c>
      <c r="O337" s="88">
        <v>0</v>
      </c>
      <c r="P337" s="88">
        <v>5654.9901999999975</v>
      </c>
    </row>
    <row r="338" spans="2:16" hidden="1">
      <c r="B338" s="79"/>
      <c r="C338" s="79"/>
      <c r="D338" s="81" t="s">
        <v>119</v>
      </c>
      <c r="E338" s="87">
        <v>2006</v>
      </c>
      <c r="F338" s="88">
        <v>39.165399999999998</v>
      </c>
      <c r="G338" s="88">
        <v>831.28729999999985</v>
      </c>
      <c r="H338" s="88">
        <v>534.47419999999988</v>
      </c>
      <c r="I338" s="88">
        <v>1028.0816</v>
      </c>
      <c r="J338" s="88">
        <v>1530.4362999999998</v>
      </c>
      <c r="K338" s="88">
        <v>1446.5878000000002</v>
      </c>
      <c r="L338" s="88">
        <v>127.83779999999996</v>
      </c>
      <c r="M338" s="88">
        <v>0</v>
      </c>
      <c r="N338" s="88">
        <v>0</v>
      </c>
      <c r="O338" s="88">
        <v>0</v>
      </c>
      <c r="P338" s="88">
        <v>5537.8703999999952</v>
      </c>
    </row>
    <row r="339" spans="2:16" hidden="1">
      <c r="B339" s="79"/>
      <c r="C339" s="79"/>
      <c r="D339" s="81" t="s">
        <v>119</v>
      </c>
      <c r="E339" s="87">
        <v>2007</v>
      </c>
      <c r="F339" s="88">
        <v>46.971600000000009</v>
      </c>
      <c r="G339" s="88">
        <v>578.24940000000038</v>
      </c>
      <c r="H339" s="88">
        <v>525.83429999999987</v>
      </c>
      <c r="I339" s="88">
        <v>1181.8973000000001</v>
      </c>
      <c r="J339" s="88">
        <v>1472.2044000000001</v>
      </c>
      <c r="K339" s="88">
        <v>1532.3402999999996</v>
      </c>
      <c r="L339" s="88">
        <v>139.06169999999992</v>
      </c>
      <c r="M339" s="88">
        <v>0</v>
      </c>
      <c r="N339" s="88">
        <v>0</v>
      </c>
      <c r="O339" s="88">
        <v>0</v>
      </c>
      <c r="P339" s="88">
        <v>5476.5590000000002</v>
      </c>
    </row>
    <row r="340" spans="2:16" hidden="1">
      <c r="B340" s="79"/>
      <c r="C340" s="79"/>
      <c r="D340" s="81" t="s">
        <v>119</v>
      </c>
      <c r="E340" s="87">
        <v>2008</v>
      </c>
      <c r="F340" s="88">
        <v>45.830300000000001</v>
      </c>
      <c r="G340" s="88">
        <v>541.06080000000009</v>
      </c>
      <c r="H340" s="88">
        <v>752.13329999999951</v>
      </c>
      <c r="I340" s="88">
        <v>1197.6211000000003</v>
      </c>
      <c r="J340" s="88">
        <v>1333.3999000000003</v>
      </c>
      <c r="K340" s="88">
        <v>1534.0166000000002</v>
      </c>
      <c r="L340" s="88">
        <v>130.77079999999995</v>
      </c>
      <c r="M340" s="88">
        <v>0</v>
      </c>
      <c r="N340" s="88">
        <v>0</v>
      </c>
      <c r="O340" s="88">
        <v>0</v>
      </c>
      <c r="P340" s="88">
        <v>5534.832800000002</v>
      </c>
    </row>
    <row r="341" spans="2:16" hidden="1">
      <c r="B341" s="79"/>
      <c r="C341" s="79"/>
      <c r="D341" s="81" t="s">
        <v>119</v>
      </c>
      <c r="E341" s="87">
        <v>2009</v>
      </c>
      <c r="F341" s="88">
        <v>47.875</v>
      </c>
      <c r="G341" s="88">
        <v>578.15840000000003</v>
      </c>
      <c r="H341" s="88">
        <v>932.49459999999954</v>
      </c>
      <c r="I341" s="88">
        <v>1160.1721</v>
      </c>
      <c r="J341" s="88">
        <v>1398.3290999999999</v>
      </c>
      <c r="K341" s="88">
        <v>1762.9280000000003</v>
      </c>
      <c r="L341" s="88">
        <v>156.971</v>
      </c>
      <c r="M341" s="88">
        <v>0</v>
      </c>
      <c r="N341" s="88">
        <v>0</v>
      </c>
      <c r="O341" s="88">
        <v>0</v>
      </c>
      <c r="P341" s="88">
        <v>6036.9282000000021</v>
      </c>
    </row>
    <row r="342" spans="2:16" hidden="1">
      <c r="B342" s="79"/>
      <c r="C342" s="79"/>
      <c r="D342" s="81" t="s">
        <v>119</v>
      </c>
      <c r="E342" s="87">
        <v>2010</v>
      </c>
      <c r="F342" s="88">
        <v>36.61</v>
      </c>
      <c r="G342" s="88">
        <v>554.30980000000011</v>
      </c>
      <c r="H342" s="88">
        <v>734.24430000000018</v>
      </c>
      <c r="I342" s="88">
        <v>1010.6447999999997</v>
      </c>
      <c r="J342" s="88">
        <v>1419.4252000000004</v>
      </c>
      <c r="K342" s="88">
        <v>2022.7627000000016</v>
      </c>
      <c r="L342" s="88">
        <v>192.40320000000003</v>
      </c>
      <c r="M342" s="88">
        <v>0</v>
      </c>
      <c r="N342" s="88">
        <v>0</v>
      </c>
      <c r="O342" s="88">
        <v>0</v>
      </c>
      <c r="P342" s="88">
        <v>5970.4000000000024</v>
      </c>
    </row>
    <row r="343" spans="2:16" hidden="1">
      <c r="B343" s="79"/>
      <c r="C343" s="79"/>
      <c r="D343" s="81" t="s">
        <v>119</v>
      </c>
      <c r="E343" s="87">
        <v>2011</v>
      </c>
      <c r="F343" s="88">
        <v>34.791399999999996</v>
      </c>
      <c r="G343" s="88">
        <v>560.91190000000017</v>
      </c>
      <c r="H343" s="88">
        <v>560.85209999999995</v>
      </c>
      <c r="I343" s="88">
        <v>714.3022000000002</v>
      </c>
      <c r="J343" s="88">
        <v>1186.8602000000003</v>
      </c>
      <c r="K343" s="88">
        <v>2151.1149000000009</v>
      </c>
      <c r="L343" s="88">
        <v>137.95719999999997</v>
      </c>
      <c r="M343" s="88">
        <v>0</v>
      </c>
      <c r="N343" s="88">
        <v>0</v>
      </c>
      <c r="O343" s="88">
        <v>0</v>
      </c>
      <c r="P343" s="88">
        <v>5346.7898999999989</v>
      </c>
    </row>
    <row r="344" spans="2:16" hidden="1">
      <c r="B344" s="79"/>
      <c r="C344" s="89"/>
      <c r="D344" s="81" t="s">
        <v>119</v>
      </c>
      <c r="E344" s="82">
        <v>2012</v>
      </c>
      <c r="F344" s="83">
        <v>48.706699999999998</v>
      </c>
      <c r="G344" s="83">
        <v>770.46650000000022</v>
      </c>
      <c r="H344" s="83">
        <v>659.84759999999983</v>
      </c>
      <c r="I344" s="83">
        <v>673.87480000000005</v>
      </c>
      <c r="J344" s="83">
        <v>1225.1574000000001</v>
      </c>
      <c r="K344" s="83">
        <v>2348.4501000000009</v>
      </c>
      <c r="L344" s="83">
        <v>198.48310000000004</v>
      </c>
      <c r="M344" s="83">
        <v>0</v>
      </c>
      <c r="N344" s="83">
        <v>0</v>
      </c>
      <c r="O344" s="83">
        <v>0</v>
      </c>
      <c r="P344" s="83">
        <v>5924.9862000000012</v>
      </c>
    </row>
    <row r="345" spans="2:16" hidden="1">
      <c r="B345" s="79"/>
      <c r="C345" s="76" t="s">
        <v>186</v>
      </c>
      <c r="D345" s="77" t="s">
        <v>179</v>
      </c>
      <c r="E345" s="85">
        <v>2005</v>
      </c>
      <c r="F345" s="86">
        <v>53.5961</v>
      </c>
      <c r="G345" s="86">
        <v>216.15559999999996</v>
      </c>
      <c r="H345" s="86">
        <v>354.20699999999999</v>
      </c>
      <c r="I345" s="86">
        <v>247.04640000000006</v>
      </c>
      <c r="J345" s="86">
        <v>552.72689999999989</v>
      </c>
      <c r="K345" s="86">
        <v>801.94100000000014</v>
      </c>
      <c r="L345" s="86">
        <v>0</v>
      </c>
      <c r="M345" s="86">
        <v>32.75</v>
      </c>
      <c r="N345" s="86">
        <v>20.25</v>
      </c>
      <c r="O345" s="86">
        <v>0</v>
      </c>
      <c r="P345" s="86">
        <v>2278.6729999999989</v>
      </c>
    </row>
    <row r="346" spans="2:16" hidden="1">
      <c r="B346" s="79"/>
      <c r="C346" s="79"/>
      <c r="D346" s="81" t="s">
        <v>180</v>
      </c>
      <c r="E346" s="87">
        <v>2006</v>
      </c>
      <c r="F346" s="88">
        <v>55.138599999999997</v>
      </c>
      <c r="G346" s="88">
        <v>401.49879999999996</v>
      </c>
      <c r="H346" s="88">
        <v>219.82270000000005</v>
      </c>
      <c r="I346" s="88">
        <v>528.11300000000028</v>
      </c>
      <c r="J346" s="88">
        <v>575.61460000000034</v>
      </c>
      <c r="K346" s="88">
        <v>718.23100000000011</v>
      </c>
      <c r="L346" s="88">
        <v>0</v>
      </c>
      <c r="M346" s="88">
        <v>26.5</v>
      </c>
      <c r="N346" s="88">
        <v>18.5</v>
      </c>
      <c r="O346" s="88">
        <v>0</v>
      </c>
      <c r="P346" s="88">
        <v>2543.4187000000006</v>
      </c>
    </row>
    <row r="347" spans="2:16" hidden="1">
      <c r="B347" s="79"/>
      <c r="C347" s="79"/>
      <c r="D347" s="81" t="s">
        <v>180</v>
      </c>
      <c r="E347" s="87">
        <v>2007</v>
      </c>
      <c r="F347" s="88">
        <v>46.110600000000005</v>
      </c>
      <c r="G347" s="88">
        <v>499.60620000000034</v>
      </c>
      <c r="H347" s="88">
        <v>210.1494000000001</v>
      </c>
      <c r="I347" s="88">
        <v>454.38160000000016</v>
      </c>
      <c r="J347" s="88">
        <v>561.82409999999993</v>
      </c>
      <c r="K347" s="88">
        <v>686.22910000000002</v>
      </c>
      <c r="L347" s="88">
        <v>6.0417000000000005</v>
      </c>
      <c r="M347" s="88">
        <v>40.25</v>
      </c>
      <c r="N347" s="88">
        <v>12.25</v>
      </c>
      <c r="O347" s="88">
        <v>0</v>
      </c>
      <c r="P347" s="88">
        <v>2516.8427000000001</v>
      </c>
    </row>
    <row r="348" spans="2:16" hidden="1">
      <c r="B348" s="79"/>
      <c r="C348" s="79"/>
      <c r="D348" s="81" t="s">
        <v>180</v>
      </c>
      <c r="E348" s="87">
        <v>2008</v>
      </c>
      <c r="F348" s="88">
        <v>33.859100000000005</v>
      </c>
      <c r="G348" s="88">
        <v>460.37180000000023</v>
      </c>
      <c r="H348" s="88">
        <v>323.18960000000004</v>
      </c>
      <c r="I348" s="88">
        <v>451.63610000000006</v>
      </c>
      <c r="J348" s="88">
        <v>561.96100000000001</v>
      </c>
      <c r="K348" s="88">
        <v>694.21179999999993</v>
      </c>
      <c r="L348" s="88">
        <v>4.7709000000000001</v>
      </c>
      <c r="M348" s="88">
        <v>39.25</v>
      </c>
      <c r="N348" s="88">
        <v>14.5</v>
      </c>
      <c r="O348" s="88">
        <v>0</v>
      </c>
      <c r="P348" s="88">
        <v>2583.7503000000006</v>
      </c>
    </row>
    <row r="349" spans="2:16" hidden="1">
      <c r="B349" s="79"/>
      <c r="C349" s="79"/>
      <c r="D349" s="81" t="s">
        <v>180</v>
      </c>
      <c r="E349" s="87">
        <v>2009</v>
      </c>
      <c r="F349" s="88">
        <v>70.181699999999992</v>
      </c>
      <c r="G349" s="88">
        <v>356.93369999999999</v>
      </c>
      <c r="H349" s="88">
        <v>380.25709999999998</v>
      </c>
      <c r="I349" s="88">
        <v>440.80669999999992</v>
      </c>
      <c r="J349" s="88">
        <v>594.70630000000017</v>
      </c>
      <c r="K349" s="88">
        <v>734.63009999999997</v>
      </c>
      <c r="L349" s="88">
        <v>12.8543</v>
      </c>
      <c r="M349" s="88">
        <v>45</v>
      </c>
      <c r="N349" s="88">
        <v>10.75</v>
      </c>
      <c r="O349" s="88">
        <v>0</v>
      </c>
      <c r="P349" s="88">
        <v>2646.1199000000006</v>
      </c>
    </row>
    <row r="350" spans="2:16" hidden="1">
      <c r="B350" s="79"/>
      <c r="C350" s="79"/>
      <c r="D350" s="81" t="s">
        <v>180</v>
      </c>
      <c r="E350" s="87">
        <v>2010</v>
      </c>
      <c r="F350" s="88">
        <v>128.08959999999999</v>
      </c>
      <c r="G350" s="88">
        <v>384.79909999999995</v>
      </c>
      <c r="H350" s="88">
        <v>382.22019999999986</v>
      </c>
      <c r="I350" s="88">
        <v>456.45220000000012</v>
      </c>
      <c r="J350" s="88">
        <v>576.30290000000025</v>
      </c>
      <c r="K350" s="88">
        <v>880.91839999999979</v>
      </c>
      <c r="L350" s="88">
        <v>24.979399999999998</v>
      </c>
      <c r="M350" s="88">
        <v>35.25</v>
      </c>
      <c r="N350" s="88">
        <v>8.75</v>
      </c>
      <c r="O350" s="88">
        <v>0</v>
      </c>
      <c r="P350" s="88">
        <v>2877.7617999999989</v>
      </c>
    </row>
    <row r="351" spans="2:16" hidden="1">
      <c r="B351" s="79"/>
      <c r="C351" s="79"/>
      <c r="D351" s="81" t="s">
        <v>180</v>
      </c>
      <c r="E351" s="87">
        <v>2011</v>
      </c>
      <c r="F351" s="88">
        <v>194.96050000000005</v>
      </c>
      <c r="G351" s="88">
        <v>800.92699999999991</v>
      </c>
      <c r="H351" s="88">
        <v>772.62129999999991</v>
      </c>
      <c r="I351" s="88">
        <v>463.66600000000005</v>
      </c>
      <c r="J351" s="88">
        <v>508.01120000000009</v>
      </c>
      <c r="K351" s="88">
        <v>1148.1686</v>
      </c>
      <c r="L351" s="88">
        <v>30.354399999999998</v>
      </c>
      <c r="M351" s="88">
        <v>48.7</v>
      </c>
      <c r="N351" s="88">
        <v>11</v>
      </c>
      <c r="O351" s="88">
        <v>0</v>
      </c>
      <c r="P351" s="88">
        <v>3978.4090000000001</v>
      </c>
    </row>
    <row r="352" spans="2:16" hidden="1">
      <c r="B352" s="79"/>
      <c r="C352" s="79"/>
      <c r="D352" s="81" t="s">
        <v>180</v>
      </c>
      <c r="E352" s="82">
        <v>2012</v>
      </c>
      <c r="F352" s="83">
        <v>203.56170000000003</v>
      </c>
      <c r="G352" s="83">
        <v>837.03309999999988</v>
      </c>
      <c r="H352" s="83">
        <v>855.42490000000043</v>
      </c>
      <c r="I352" s="83">
        <v>466.07189999999997</v>
      </c>
      <c r="J352" s="83">
        <v>460.71139999999991</v>
      </c>
      <c r="K352" s="83">
        <v>1170.6723</v>
      </c>
      <c r="L352" s="83">
        <v>23.562799999999999</v>
      </c>
      <c r="M352" s="83">
        <v>59.25</v>
      </c>
      <c r="N352" s="83">
        <v>15.5</v>
      </c>
      <c r="O352" s="83">
        <v>0</v>
      </c>
      <c r="P352" s="83">
        <v>4091.7880999999993</v>
      </c>
    </row>
    <row r="353" spans="2:16" hidden="1">
      <c r="B353" s="79"/>
      <c r="C353" s="79"/>
      <c r="D353" s="77" t="s">
        <v>180</v>
      </c>
      <c r="E353" s="87">
        <v>2005</v>
      </c>
      <c r="F353" s="88">
        <v>0.1</v>
      </c>
      <c r="G353" s="88">
        <v>1.8000000000000003</v>
      </c>
      <c r="H353" s="88">
        <v>53.662399999999998</v>
      </c>
      <c r="I353" s="88">
        <v>3.2235999999999994</v>
      </c>
      <c r="J353" s="88">
        <v>64.642399999999995</v>
      </c>
      <c r="K353" s="88">
        <v>65.214399999999998</v>
      </c>
      <c r="L353" s="88">
        <v>0</v>
      </c>
      <c r="M353" s="88">
        <v>0</v>
      </c>
      <c r="N353" s="88">
        <v>0</v>
      </c>
      <c r="O353" s="88">
        <v>0</v>
      </c>
      <c r="P353" s="88">
        <v>188.64279999999997</v>
      </c>
    </row>
    <row r="354" spans="2:16" hidden="1">
      <c r="B354" s="79"/>
      <c r="C354" s="79"/>
      <c r="D354" s="81" t="s">
        <v>179</v>
      </c>
      <c r="E354" s="87">
        <v>2006</v>
      </c>
      <c r="F354" s="88">
        <v>0</v>
      </c>
      <c r="G354" s="88">
        <v>2.0926</v>
      </c>
      <c r="H354" s="88">
        <v>39.942300000000003</v>
      </c>
      <c r="I354" s="88">
        <v>9.8590000000000018</v>
      </c>
      <c r="J354" s="88">
        <v>49.480800000000002</v>
      </c>
      <c r="K354" s="88">
        <v>44.791299999999985</v>
      </c>
      <c r="L354" s="88">
        <v>0</v>
      </c>
      <c r="M354" s="88">
        <v>0</v>
      </c>
      <c r="N354" s="88">
        <v>0</v>
      </c>
      <c r="O354" s="88">
        <v>0</v>
      </c>
      <c r="P354" s="88">
        <v>146.166</v>
      </c>
    </row>
    <row r="355" spans="2:16" hidden="1">
      <c r="B355" s="79"/>
      <c r="C355" s="79"/>
      <c r="D355" s="81" t="s">
        <v>179</v>
      </c>
      <c r="E355" s="87">
        <v>2007</v>
      </c>
      <c r="F355" s="88">
        <v>0</v>
      </c>
      <c r="G355" s="88">
        <v>1.8321000000000005</v>
      </c>
      <c r="H355" s="88">
        <v>50.478700000000003</v>
      </c>
      <c r="I355" s="88">
        <v>8.3032000000000004</v>
      </c>
      <c r="J355" s="88">
        <v>60.238400000000006</v>
      </c>
      <c r="K355" s="88">
        <v>44.25</v>
      </c>
      <c r="L355" s="88">
        <v>0</v>
      </c>
      <c r="M355" s="88">
        <v>0</v>
      </c>
      <c r="N355" s="88">
        <v>0</v>
      </c>
      <c r="O355" s="88">
        <v>0</v>
      </c>
      <c r="P355" s="88">
        <v>165.10239999999996</v>
      </c>
    </row>
    <row r="356" spans="2:16" hidden="1">
      <c r="B356" s="79"/>
      <c r="C356" s="79"/>
      <c r="D356" s="81" t="s">
        <v>179</v>
      </c>
      <c r="E356" s="87">
        <v>2008</v>
      </c>
      <c r="F356" s="88">
        <v>0</v>
      </c>
      <c r="G356" s="88">
        <v>0.2334</v>
      </c>
      <c r="H356" s="88">
        <v>52.791800000000009</v>
      </c>
      <c r="I356" s="88">
        <v>8.7306000000000008</v>
      </c>
      <c r="J356" s="88">
        <v>89.134699999999981</v>
      </c>
      <c r="K356" s="88">
        <v>45.212900000000005</v>
      </c>
      <c r="L356" s="88">
        <v>3.7500999999999998</v>
      </c>
      <c r="M356" s="88">
        <v>0.5</v>
      </c>
      <c r="N356" s="88">
        <v>0</v>
      </c>
      <c r="O356" s="88">
        <v>0</v>
      </c>
      <c r="P356" s="88">
        <v>200.3535</v>
      </c>
    </row>
    <row r="357" spans="2:16" hidden="1">
      <c r="B357" s="79"/>
      <c r="C357" s="79"/>
      <c r="D357" s="81" t="s">
        <v>179</v>
      </c>
      <c r="E357" s="87">
        <v>2009</v>
      </c>
      <c r="F357" s="88">
        <v>0</v>
      </c>
      <c r="G357" s="88">
        <v>1.0502</v>
      </c>
      <c r="H357" s="88">
        <v>51.719000000000001</v>
      </c>
      <c r="I357" s="88">
        <v>5.9583000000000013</v>
      </c>
      <c r="J357" s="88">
        <v>97.579000000000022</v>
      </c>
      <c r="K357" s="88">
        <v>35.756900000000002</v>
      </c>
      <c r="L357" s="88">
        <v>17.271000000000004</v>
      </c>
      <c r="M357" s="88">
        <v>0</v>
      </c>
      <c r="N357" s="88">
        <v>0</v>
      </c>
      <c r="O357" s="88">
        <v>0</v>
      </c>
      <c r="P357" s="88">
        <v>209.33439999999993</v>
      </c>
    </row>
    <row r="358" spans="2:16" hidden="1">
      <c r="B358" s="79"/>
      <c r="C358" s="79"/>
      <c r="D358" s="81" t="s">
        <v>179</v>
      </c>
      <c r="E358" s="87">
        <v>2010</v>
      </c>
      <c r="F358" s="88">
        <v>0</v>
      </c>
      <c r="G358" s="88">
        <v>1.0002</v>
      </c>
      <c r="H358" s="88">
        <v>46.994700000000002</v>
      </c>
      <c r="I358" s="88">
        <v>7.4361000000000006</v>
      </c>
      <c r="J358" s="88">
        <v>92.191199999999995</v>
      </c>
      <c r="K358" s="88">
        <v>38.833500000000001</v>
      </c>
      <c r="L358" s="88">
        <v>16.666899999999998</v>
      </c>
      <c r="M358" s="88">
        <v>0</v>
      </c>
      <c r="N358" s="88">
        <v>0</v>
      </c>
      <c r="O358" s="88">
        <v>0</v>
      </c>
      <c r="P358" s="88">
        <v>203.12260000000001</v>
      </c>
    </row>
    <row r="359" spans="2:16" hidden="1">
      <c r="B359" s="79"/>
      <c r="C359" s="79"/>
      <c r="D359" s="81" t="s">
        <v>179</v>
      </c>
      <c r="E359" s="87">
        <v>2011</v>
      </c>
      <c r="F359" s="88">
        <v>0</v>
      </c>
      <c r="G359" s="88">
        <v>0</v>
      </c>
      <c r="H359" s="88">
        <v>76.992400000000032</v>
      </c>
      <c r="I359" s="88">
        <v>6.7169999999999996</v>
      </c>
      <c r="J359" s="88">
        <v>80.028300000000016</v>
      </c>
      <c r="K359" s="88">
        <v>41.583399999999997</v>
      </c>
      <c r="L359" s="88">
        <v>21.854300000000002</v>
      </c>
      <c r="M359" s="88">
        <v>0.25</v>
      </c>
      <c r="N359" s="88">
        <v>0</v>
      </c>
      <c r="O359" s="88">
        <v>0</v>
      </c>
      <c r="P359" s="88">
        <v>227.42540000000002</v>
      </c>
    </row>
    <row r="360" spans="2:16" hidden="1">
      <c r="B360" s="79"/>
      <c r="C360" s="79"/>
      <c r="D360" s="81" t="s">
        <v>179</v>
      </c>
      <c r="E360" s="82">
        <v>2012</v>
      </c>
      <c r="F360" s="83">
        <v>0</v>
      </c>
      <c r="G360" s="83">
        <v>1.3244999999999998</v>
      </c>
      <c r="H360" s="83">
        <v>68.703700000000012</v>
      </c>
      <c r="I360" s="83">
        <v>8.9140000000000015</v>
      </c>
      <c r="J360" s="83">
        <v>60.341200000000001</v>
      </c>
      <c r="K360" s="83">
        <v>33.694299999999998</v>
      </c>
      <c r="L360" s="83">
        <v>20.396000000000001</v>
      </c>
      <c r="M360" s="83">
        <v>0.25</v>
      </c>
      <c r="N360" s="83">
        <v>0</v>
      </c>
      <c r="O360" s="83">
        <v>0</v>
      </c>
      <c r="P360" s="83">
        <v>193.62370000000004</v>
      </c>
    </row>
    <row r="361" spans="2:16" hidden="1">
      <c r="B361" s="79"/>
      <c r="C361" s="79"/>
      <c r="D361" s="77" t="s">
        <v>119</v>
      </c>
      <c r="E361" s="87">
        <v>2005</v>
      </c>
      <c r="F361" s="88">
        <v>53.696100000000001</v>
      </c>
      <c r="G361" s="88">
        <v>217.95559999999998</v>
      </c>
      <c r="H361" s="88">
        <v>407.86939999999998</v>
      </c>
      <c r="I361" s="88">
        <v>250.27000000000007</v>
      </c>
      <c r="J361" s="88">
        <v>617.36929999999984</v>
      </c>
      <c r="K361" s="88">
        <v>867.1554000000001</v>
      </c>
      <c r="L361" s="88">
        <v>0</v>
      </c>
      <c r="M361" s="88">
        <v>32.75</v>
      </c>
      <c r="N361" s="88">
        <v>20.25</v>
      </c>
      <c r="O361" s="88">
        <v>0</v>
      </c>
      <c r="P361" s="88">
        <v>2467.3157999999989</v>
      </c>
    </row>
    <row r="362" spans="2:16" hidden="1">
      <c r="B362" s="79"/>
      <c r="C362" s="79"/>
      <c r="D362" s="81" t="s">
        <v>119</v>
      </c>
      <c r="E362" s="87">
        <v>2006</v>
      </c>
      <c r="F362" s="88">
        <v>55.138599999999997</v>
      </c>
      <c r="G362" s="88">
        <v>403.59139999999996</v>
      </c>
      <c r="H362" s="88">
        <v>259.76500000000004</v>
      </c>
      <c r="I362" s="88">
        <v>537.97200000000032</v>
      </c>
      <c r="J362" s="88">
        <v>625.09540000000038</v>
      </c>
      <c r="K362" s="88">
        <v>763.02230000000009</v>
      </c>
      <c r="L362" s="88">
        <v>0</v>
      </c>
      <c r="M362" s="88">
        <v>26.5</v>
      </c>
      <c r="N362" s="88">
        <v>18.5</v>
      </c>
      <c r="O362" s="88">
        <v>0</v>
      </c>
      <c r="P362" s="88">
        <v>2689.5847000000008</v>
      </c>
    </row>
    <row r="363" spans="2:16" hidden="1">
      <c r="B363" s="79"/>
      <c r="C363" s="79"/>
      <c r="D363" s="81" t="s">
        <v>119</v>
      </c>
      <c r="E363" s="87">
        <v>2007</v>
      </c>
      <c r="F363" s="88">
        <v>46.110600000000005</v>
      </c>
      <c r="G363" s="88">
        <v>501.43830000000037</v>
      </c>
      <c r="H363" s="88">
        <v>260.62810000000013</v>
      </c>
      <c r="I363" s="88">
        <v>462.68480000000017</v>
      </c>
      <c r="J363" s="88">
        <v>622.06249999999989</v>
      </c>
      <c r="K363" s="88">
        <v>730.47910000000002</v>
      </c>
      <c r="L363" s="88">
        <v>6.0417000000000005</v>
      </c>
      <c r="M363" s="88">
        <v>40.25</v>
      </c>
      <c r="N363" s="88">
        <v>12.25</v>
      </c>
      <c r="O363" s="88">
        <v>0</v>
      </c>
      <c r="P363" s="88">
        <v>2681.9450999999999</v>
      </c>
    </row>
    <row r="364" spans="2:16" hidden="1">
      <c r="B364" s="79"/>
      <c r="C364" s="79"/>
      <c r="D364" s="81" t="s">
        <v>119</v>
      </c>
      <c r="E364" s="87">
        <v>2008</v>
      </c>
      <c r="F364" s="88">
        <v>33.859100000000005</v>
      </c>
      <c r="G364" s="88">
        <v>460.60520000000025</v>
      </c>
      <c r="H364" s="88">
        <v>375.98140000000006</v>
      </c>
      <c r="I364" s="88">
        <v>460.36670000000004</v>
      </c>
      <c r="J364" s="88">
        <v>651.09569999999997</v>
      </c>
      <c r="K364" s="88">
        <v>739.42469999999992</v>
      </c>
      <c r="L364" s="88">
        <v>8.5210000000000008</v>
      </c>
      <c r="M364" s="88">
        <v>39.75</v>
      </c>
      <c r="N364" s="88">
        <v>14.5</v>
      </c>
      <c r="O364" s="88">
        <v>0</v>
      </c>
      <c r="P364" s="88">
        <v>2784.1038000000008</v>
      </c>
    </row>
    <row r="365" spans="2:16" hidden="1">
      <c r="B365" s="79"/>
      <c r="C365" s="79"/>
      <c r="D365" s="81" t="s">
        <v>119</v>
      </c>
      <c r="E365" s="87">
        <v>2009</v>
      </c>
      <c r="F365" s="88">
        <v>70.181699999999992</v>
      </c>
      <c r="G365" s="88">
        <v>357.98390000000001</v>
      </c>
      <c r="H365" s="88">
        <v>431.97609999999997</v>
      </c>
      <c r="I365" s="88">
        <v>446.76499999999993</v>
      </c>
      <c r="J365" s="88">
        <v>692.28530000000023</v>
      </c>
      <c r="K365" s="88">
        <v>770.38699999999994</v>
      </c>
      <c r="L365" s="88">
        <v>30.125300000000003</v>
      </c>
      <c r="M365" s="88">
        <v>45</v>
      </c>
      <c r="N365" s="88">
        <v>10.75</v>
      </c>
      <c r="O365" s="88">
        <v>0</v>
      </c>
      <c r="P365" s="88">
        <v>2855.4543000000003</v>
      </c>
    </row>
    <row r="366" spans="2:16" hidden="1">
      <c r="B366" s="79"/>
      <c r="C366" s="79"/>
      <c r="D366" s="81" t="s">
        <v>119</v>
      </c>
      <c r="E366" s="87">
        <v>2010</v>
      </c>
      <c r="F366" s="88">
        <v>128.08959999999999</v>
      </c>
      <c r="G366" s="88">
        <v>385.79929999999996</v>
      </c>
      <c r="H366" s="88">
        <v>429.21489999999989</v>
      </c>
      <c r="I366" s="88">
        <v>463.88830000000013</v>
      </c>
      <c r="J366" s="88">
        <v>668.49410000000023</v>
      </c>
      <c r="K366" s="88">
        <v>919.75189999999975</v>
      </c>
      <c r="L366" s="88">
        <v>41.646299999999997</v>
      </c>
      <c r="M366" s="88">
        <v>35.25</v>
      </c>
      <c r="N366" s="88">
        <v>8.75</v>
      </c>
      <c r="O366" s="88">
        <v>0</v>
      </c>
      <c r="P366" s="88">
        <v>3080.884399999999</v>
      </c>
    </row>
    <row r="367" spans="2:16" hidden="1">
      <c r="B367" s="79"/>
      <c r="C367" s="79"/>
      <c r="D367" s="81" t="s">
        <v>119</v>
      </c>
      <c r="E367" s="87">
        <v>2011</v>
      </c>
      <c r="F367" s="88">
        <v>194.96050000000005</v>
      </c>
      <c r="G367" s="88">
        <v>800.92699999999991</v>
      </c>
      <c r="H367" s="88">
        <v>849.61369999999988</v>
      </c>
      <c r="I367" s="88">
        <v>470.38300000000004</v>
      </c>
      <c r="J367" s="88">
        <v>588.03950000000009</v>
      </c>
      <c r="K367" s="88">
        <v>1189.752</v>
      </c>
      <c r="L367" s="88">
        <v>52.2087</v>
      </c>
      <c r="M367" s="88">
        <v>48.95</v>
      </c>
      <c r="N367" s="88">
        <v>11</v>
      </c>
      <c r="O367" s="88">
        <v>0</v>
      </c>
      <c r="P367" s="88">
        <v>4205.8343999999997</v>
      </c>
    </row>
    <row r="368" spans="2:16" hidden="1">
      <c r="B368" s="79"/>
      <c r="C368" s="89"/>
      <c r="D368" s="81" t="s">
        <v>119</v>
      </c>
      <c r="E368" s="82">
        <v>2012</v>
      </c>
      <c r="F368" s="83">
        <v>203.56170000000003</v>
      </c>
      <c r="G368" s="83">
        <v>838.35759999999982</v>
      </c>
      <c r="H368" s="83">
        <v>924.12860000000046</v>
      </c>
      <c r="I368" s="83">
        <v>474.98589999999996</v>
      </c>
      <c r="J368" s="83">
        <v>521.05259999999987</v>
      </c>
      <c r="K368" s="83">
        <v>1204.3665999999998</v>
      </c>
      <c r="L368" s="83">
        <v>43.958799999999997</v>
      </c>
      <c r="M368" s="83">
        <v>59.5</v>
      </c>
      <c r="N368" s="83">
        <v>15.5</v>
      </c>
      <c r="O368" s="83">
        <v>0</v>
      </c>
      <c r="P368" s="83">
        <v>4285.4117999999989</v>
      </c>
    </row>
    <row r="369" spans="2:16" hidden="1">
      <c r="B369" s="79"/>
      <c r="C369" s="76" t="s">
        <v>187</v>
      </c>
      <c r="D369" s="77" t="s">
        <v>179</v>
      </c>
      <c r="E369" s="85">
        <v>2005</v>
      </c>
      <c r="F369" s="86">
        <v>58.797299999999993</v>
      </c>
      <c r="G369" s="86">
        <v>332.59590000000003</v>
      </c>
      <c r="H369" s="86">
        <v>629.31290000000001</v>
      </c>
      <c r="I369" s="86">
        <v>1544.5386000000001</v>
      </c>
      <c r="J369" s="86">
        <v>591.04549999999995</v>
      </c>
      <c r="K369" s="86">
        <v>488.83359999999999</v>
      </c>
      <c r="L369" s="86">
        <v>0</v>
      </c>
      <c r="M369" s="86">
        <v>0</v>
      </c>
      <c r="N369" s="86">
        <v>0</v>
      </c>
      <c r="O369" s="86">
        <v>0</v>
      </c>
      <c r="P369" s="86">
        <v>3645.1238000000017</v>
      </c>
    </row>
    <row r="370" spans="2:16" hidden="1">
      <c r="B370" s="79"/>
      <c r="C370" s="79"/>
      <c r="D370" s="81" t="s">
        <v>180</v>
      </c>
      <c r="E370" s="87">
        <v>2006</v>
      </c>
      <c r="F370" s="88">
        <v>58.347900000000003</v>
      </c>
      <c r="G370" s="88">
        <v>317.62139999999994</v>
      </c>
      <c r="H370" s="88">
        <v>548.36749999999995</v>
      </c>
      <c r="I370" s="88">
        <v>1426.4341999999999</v>
      </c>
      <c r="J370" s="88">
        <v>601.0136</v>
      </c>
      <c r="K370" s="88">
        <v>398.9935999999999</v>
      </c>
      <c r="L370" s="88">
        <v>0.66670000000000007</v>
      </c>
      <c r="M370" s="88">
        <v>0</v>
      </c>
      <c r="N370" s="88">
        <v>0</v>
      </c>
      <c r="O370" s="88">
        <v>0</v>
      </c>
      <c r="P370" s="88">
        <v>3351.4449000000013</v>
      </c>
    </row>
    <row r="371" spans="2:16" hidden="1">
      <c r="B371" s="79"/>
      <c r="C371" s="79"/>
      <c r="D371" s="81" t="s">
        <v>180</v>
      </c>
      <c r="E371" s="87">
        <v>2007</v>
      </c>
      <c r="F371" s="88">
        <v>59.092199999999991</v>
      </c>
      <c r="G371" s="88">
        <v>323.67660000000018</v>
      </c>
      <c r="H371" s="88">
        <v>593.1484999999999</v>
      </c>
      <c r="I371" s="88">
        <v>1426.2818000000007</v>
      </c>
      <c r="J371" s="88">
        <v>784.43630000000019</v>
      </c>
      <c r="K371" s="88">
        <v>404.93700000000007</v>
      </c>
      <c r="L371" s="88">
        <v>5.3336000000000006</v>
      </c>
      <c r="M371" s="88">
        <v>0</v>
      </c>
      <c r="N371" s="88">
        <v>0</v>
      </c>
      <c r="O371" s="88">
        <v>0</v>
      </c>
      <c r="P371" s="88">
        <v>3596.9060000000009</v>
      </c>
    </row>
    <row r="372" spans="2:16" hidden="1">
      <c r="B372" s="79"/>
      <c r="C372" s="79"/>
      <c r="D372" s="81" t="s">
        <v>180</v>
      </c>
      <c r="E372" s="87">
        <v>2008</v>
      </c>
      <c r="F372" s="88">
        <v>39.008300000000006</v>
      </c>
      <c r="G372" s="88">
        <v>292.02869999999996</v>
      </c>
      <c r="H372" s="88">
        <v>611.0768999999998</v>
      </c>
      <c r="I372" s="88">
        <v>1507.6124</v>
      </c>
      <c r="J372" s="88">
        <v>754.30839999999989</v>
      </c>
      <c r="K372" s="88">
        <v>405.02889999999996</v>
      </c>
      <c r="L372" s="88">
        <v>10.094699999999998</v>
      </c>
      <c r="M372" s="88">
        <v>0</v>
      </c>
      <c r="N372" s="88">
        <v>0</v>
      </c>
      <c r="O372" s="88">
        <v>0</v>
      </c>
      <c r="P372" s="88">
        <v>3619.1583000000014</v>
      </c>
    </row>
    <row r="373" spans="2:16" hidden="1">
      <c r="B373" s="79"/>
      <c r="C373" s="79"/>
      <c r="D373" s="81" t="s">
        <v>180</v>
      </c>
      <c r="E373" s="87">
        <v>2009</v>
      </c>
      <c r="F373" s="88">
        <v>35.024999999999999</v>
      </c>
      <c r="G373" s="88">
        <v>315.38749999999999</v>
      </c>
      <c r="H373" s="88">
        <v>508.04679999999973</v>
      </c>
      <c r="I373" s="88">
        <v>1399.0389999999993</v>
      </c>
      <c r="J373" s="88">
        <v>880.61789999999985</v>
      </c>
      <c r="K373" s="88">
        <v>483.22560000000016</v>
      </c>
      <c r="L373" s="88">
        <v>16.158299999999997</v>
      </c>
      <c r="M373" s="88">
        <v>0</v>
      </c>
      <c r="N373" s="88">
        <v>0</v>
      </c>
      <c r="O373" s="88">
        <v>0</v>
      </c>
      <c r="P373" s="88">
        <v>3637.5001000000011</v>
      </c>
    </row>
    <row r="374" spans="2:16" hidden="1">
      <c r="B374" s="79"/>
      <c r="C374" s="79"/>
      <c r="D374" s="81" t="s">
        <v>180</v>
      </c>
      <c r="E374" s="87">
        <v>2010</v>
      </c>
      <c r="F374" s="88">
        <v>42.489900000000006</v>
      </c>
      <c r="G374" s="88">
        <v>300.42959999999999</v>
      </c>
      <c r="H374" s="88">
        <v>628.77620000000013</v>
      </c>
      <c r="I374" s="88">
        <v>1282.7123999999997</v>
      </c>
      <c r="J374" s="88">
        <v>732.31369999999981</v>
      </c>
      <c r="K374" s="88">
        <v>611.3394000000003</v>
      </c>
      <c r="L374" s="88">
        <v>33.416700000000006</v>
      </c>
      <c r="M374" s="88">
        <v>0</v>
      </c>
      <c r="N374" s="88">
        <v>0</v>
      </c>
      <c r="O374" s="88">
        <v>0</v>
      </c>
      <c r="P374" s="88">
        <v>3631.4779000000003</v>
      </c>
    </row>
    <row r="375" spans="2:16" hidden="1">
      <c r="B375" s="79"/>
      <c r="C375" s="79"/>
      <c r="D375" s="81" t="s">
        <v>180</v>
      </c>
      <c r="E375" s="87">
        <v>2011</v>
      </c>
      <c r="F375" s="88">
        <v>34.814800000000005</v>
      </c>
      <c r="G375" s="88">
        <v>392.55619999999993</v>
      </c>
      <c r="H375" s="88">
        <v>666.75290000000007</v>
      </c>
      <c r="I375" s="88">
        <v>1281.8165999999997</v>
      </c>
      <c r="J375" s="88">
        <v>795.75599999999974</v>
      </c>
      <c r="K375" s="88">
        <v>711.53989999999999</v>
      </c>
      <c r="L375" s="88">
        <v>29.708700000000007</v>
      </c>
      <c r="M375" s="88">
        <v>0</v>
      </c>
      <c r="N375" s="88">
        <v>0</v>
      </c>
      <c r="O375" s="88">
        <v>0</v>
      </c>
      <c r="P375" s="88">
        <v>3912.945099999999</v>
      </c>
    </row>
    <row r="376" spans="2:16" hidden="1">
      <c r="B376" s="79"/>
      <c r="C376" s="79"/>
      <c r="D376" s="81" t="s">
        <v>180</v>
      </c>
      <c r="E376" s="82">
        <v>2012</v>
      </c>
      <c r="F376" s="83">
        <v>37.75</v>
      </c>
      <c r="G376" s="83">
        <v>370.23029999999983</v>
      </c>
      <c r="H376" s="83">
        <v>700.50979999999993</v>
      </c>
      <c r="I376" s="83">
        <v>1041.1082000000004</v>
      </c>
      <c r="J376" s="83">
        <v>776.04950000000008</v>
      </c>
      <c r="K376" s="83">
        <v>751.42470000000003</v>
      </c>
      <c r="L376" s="83">
        <v>27.144200000000001</v>
      </c>
      <c r="M376" s="83">
        <v>0</v>
      </c>
      <c r="N376" s="83">
        <v>0</v>
      </c>
      <c r="O376" s="83">
        <v>0</v>
      </c>
      <c r="P376" s="83">
        <v>3704.2167000000009</v>
      </c>
    </row>
    <row r="377" spans="2:16" hidden="1">
      <c r="B377" s="79"/>
      <c r="C377" s="79"/>
      <c r="D377" s="77" t="s">
        <v>180</v>
      </c>
      <c r="E377" s="87">
        <v>2005</v>
      </c>
      <c r="F377" s="88">
        <v>0.61680000000000013</v>
      </c>
      <c r="G377" s="88">
        <v>13.721800000000002</v>
      </c>
      <c r="H377" s="88">
        <v>20.452199999999998</v>
      </c>
      <c r="I377" s="88">
        <v>58.046500000000009</v>
      </c>
      <c r="J377" s="88">
        <v>227.41149999999999</v>
      </c>
      <c r="K377" s="88">
        <v>69.273600000000002</v>
      </c>
      <c r="L377" s="88">
        <v>0</v>
      </c>
      <c r="M377" s="88">
        <v>0</v>
      </c>
      <c r="N377" s="88">
        <v>0</v>
      </c>
      <c r="O377" s="88">
        <v>0</v>
      </c>
      <c r="P377" s="88">
        <v>389.52240000000029</v>
      </c>
    </row>
    <row r="378" spans="2:16" hidden="1">
      <c r="B378" s="79"/>
      <c r="C378" s="79"/>
      <c r="D378" s="81" t="s">
        <v>179</v>
      </c>
      <c r="E378" s="87">
        <v>2006</v>
      </c>
      <c r="F378" s="88">
        <v>3.2097000000000002</v>
      </c>
      <c r="G378" s="88">
        <v>9.2630999999999997</v>
      </c>
      <c r="H378" s="88">
        <v>21.608500000000003</v>
      </c>
      <c r="I378" s="88">
        <v>48.399499999999996</v>
      </c>
      <c r="J378" s="88">
        <v>189.14179999999999</v>
      </c>
      <c r="K378" s="88">
        <v>48.637300000000003</v>
      </c>
      <c r="L378" s="88">
        <v>0</v>
      </c>
      <c r="M378" s="88">
        <v>0</v>
      </c>
      <c r="N378" s="88">
        <v>0</v>
      </c>
      <c r="O378" s="88">
        <v>0</v>
      </c>
      <c r="P378" s="88">
        <v>320.25990000000002</v>
      </c>
    </row>
    <row r="379" spans="2:16" hidden="1">
      <c r="B379" s="79"/>
      <c r="C379" s="79"/>
      <c r="D379" s="81" t="s">
        <v>179</v>
      </c>
      <c r="E379" s="87">
        <v>2007</v>
      </c>
      <c r="F379" s="88">
        <v>6.2508000000000008</v>
      </c>
      <c r="G379" s="88">
        <v>20.495299999999997</v>
      </c>
      <c r="H379" s="88">
        <v>25.528400000000005</v>
      </c>
      <c r="I379" s="88">
        <v>62.162700000000008</v>
      </c>
      <c r="J379" s="88">
        <v>138.864</v>
      </c>
      <c r="K379" s="88">
        <v>48.926999999999992</v>
      </c>
      <c r="L379" s="88">
        <v>6.5007999999999999</v>
      </c>
      <c r="M379" s="88">
        <v>0</v>
      </c>
      <c r="N379" s="88">
        <v>0</v>
      </c>
      <c r="O379" s="88">
        <v>0</v>
      </c>
      <c r="P379" s="88">
        <v>308.7290000000001</v>
      </c>
    </row>
    <row r="380" spans="2:16" hidden="1">
      <c r="B380" s="79"/>
      <c r="C380" s="79"/>
      <c r="D380" s="81" t="s">
        <v>179</v>
      </c>
      <c r="E380" s="87">
        <v>2008</v>
      </c>
      <c r="F380" s="88">
        <v>17.477600000000002</v>
      </c>
      <c r="G380" s="88">
        <v>15.892900000000001</v>
      </c>
      <c r="H380" s="88">
        <v>14.4343</v>
      </c>
      <c r="I380" s="88">
        <v>48.851100000000002</v>
      </c>
      <c r="J380" s="88">
        <v>159.62049999999999</v>
      </c>
      <c r="K380" s="88">
        <v>38.923699999999997</v>
      </c>
      <c r="L380" s="88">
        <v>37.130499999999998</v>
      </c>
      <c r="M380" s="88">
        <v>0</v>
      </c>
      <c r="N380" s="88">
        <v>0</v>
      </c>
      <c r="O380" s="88">
        <v>0</v>
      </c>
      <c r="P380" s="88">
        <v>332.3306</v>
      </c>
    </row>
    <row r="381" spans="2:16" hidden="1">
      <c r="B381" s="79"/>
      <c r="C381" s="79"/>
      <c r="D381" s="81" t="s">
        <v>179</v>
      </c>
      <c r="E381" s="87">
        <v>2009</v>
      </c>
      <c r="F381" s="88">
        <v>15.554099999999998</v>
      </c>
      <c r="G381" s="88">
        <v>17.316599999999998</v>
      </c>
      <c r="H381" s="88">
        <v>12.060500000000001</v>
      </c>
      <c r="I381" s="88">
        <v>49.59</v>
      </c>
      <c r="J381" s="88">
        <v>149.65519999999992</v>
      </c>
      <c r="K381" s="88">
        <v>51.842099999999995</v>
      </c>
      <c r="L381" s="88">
        <v>36.959499999999998</v>
      </c>
      <c r="M381" s="88">
        <v>0</v>
      </c>
      <c r="N381" s="88">
        <v>0</v>
      </c>
      <c r="O381" s="88">
        <v>0</v>
      </c>
      <c r="P381" s="88">
        <v>332.97800000000012</v>
      </c>
    </row>
    <row r="382" spans="2:16" hidden="1">
      <c r="B382" s="79"/>
      <c r="C382" s="79"/>
      <c r="D382" s="81" t="s">
        <v>179</v>
      </c>
      <c r="E382" s="87">
        <v>2010</v>
      </c>
      <c r="F382" s="88">
        <v>19.941400000000002</v>
      </c>
      <c r="G382" s="88">
        <v>17.186599999999999</v>
      </c>
      <c r="H382" s="88">
        <v>8.901600000000002</v>
      </c>
      <c r="I382" s="88">
        <v>59.159099999999988</v>
      </c>
      <c r="J382" s="88">
        <v>139.1524</v>
      </c>
      <c r="K382" s="88">
        <v>61.529000000000011</v>
      </c>
      <c r="L382" s="88">
        <v>28.500999999999998</v>
      </c>
      <c r="M382" s="88">
        <v>0</v>
      </c>
      <c r="N382" s="88">
        <v>0</v>
      </c>
      <c r="O382" s="88">
        <v>0</v>
      </c>
      <c r="P382" s="88">
        <v>334.37110000000001</v>
      </c>
    </row>
    <row r="383" spans="2:16" hidden="1">
      <c r="B383" s="79"/>
      <c r="C383" s="79"/>
      <c r="D383" s="81" t="s">
        <v>179</v>
      </c>
      <c r="E383" s="87">
        <v>2011</v>
      </c>
      <c r="F383" s="88">
        <v>35.277099999999997</v>
      </c>
      <c r="G383" s="88">
        <v>26.060900000000004</v>
      </c>
      <c r="H383" s="88">
        <v>10.2254</v>
      </c>
      <c r="I383" s="88">
        <v>51.223199999999999</v>
      </c>
      <c r="J383" s="88">
        <v>123.41249999999997</v>
      </c>
      <c r="K383" s="88">
        <v>61.254799999999996</v>
      </c>
      <c r="L383" s="88">
        <v>19.456299999999999</v>
      </c>
      <c r="M383" s="88">
        <v>0</v>
      </c>
      <c r="N383" s="88">
        <v>0</v>
      </c>
      <c r="O383" s="88">
        <v>0</v>
      </c>
      <c r="P383" s="88">
        <v>326.91020000000015</v>
      </c>
    </row>
    <row r="384" spans="2:16" hidden="1">
      <c r="B384" s="79"/>
      <c r="C384" s="79"/>
      <c r="D384" s="81" t="s">
        <v>179</v>
      </c>
      <c r="E384" s="82">
        <v>2012</v>
      </c>
      <c r="F384" s="83">
        <v>16.7852</v>
      </c>
      <c r="G384" s="83">
        <v>28.854600000000005</v>
      </c>
      <c r="H384" s="83">
        <v>12.509400000000001</v>
      </c>
      <c r="I384" s="83">
        <v>40.219599999999993</v>
      </c>
      <c r="J384" s="83">
        <v>127.49750000000003</v>
      </c>
      <c r="K384" s="83">
        <v>70.375399999999999</v>
      </c>
      <c r="L384" s="83">
        <v>65.577399999999983</v>
      </c>
      <c r="M384" s="83">
        <v>0</v>
      </c>
      <c r="N384" s="83">
        <v>0</v>
      </c>
      <c r="O384" s="83">
        <v>0</v>
      </c>
      <c r="P384" s="83">
        <v>361.81910000000005</v>
      </c>
    </row>
    <row r="385" spans="2:16" hidden="1">
      <c r="B385" s="79"/>
      <c r="C385" s="79"/>
      <c r="D385" s="77" t="s">
        <v>119</v>
      </c>
      <c r="E385" s="87">
        <v>2005</v>
      </c>
      <c r="F385" s="88">
        <v>59.414099999999991</v>
      </c>
      <c r="G385" s="88">
        <v>346.31770000000006</v>
      </c>
      <c r="H385" s="88">
        <v>649.76509999999996</v>
      </c>
      <c r="I385" s="88">
        <v>1602.5851</v>
      </c>
      <c r="J385" s="88">
        <v>818.45699999999988</v>
      </c>
      <c r="K385" s="88">
        <v>558.10720000000003</v>
      </c>
      <c r="L385" s="88">
        <v>0</v>
      </c>
      <c r="M385" s="88">
        <v>0</v>
      </c>
      <c r="N385" s="88">
        <v>0</v>
      </c>
      <c r="O385" s="88">
        <v>0</v>
      </c>
      <c r="P385" s="88">
        <v>4034.646200000002</v>
      </c>
    </row>
    <row r="386" spans="2:16" hidden="1">
      <c r="B386" s="79"/>
      <c r="C386" s="79"/>
      <c r="D386" s="81" t="s">
        <v>119</v>
      </c>
      <c r="E386" s="87">
        <v>2006</v>
      </c>
      <c r="F386" s="88">
        <v>61.557600000000001</v>
      </c>
      <c r="G386" s="88">
        <v>326.88449999999995</v>
      </c>
      <c r="H386" s="88">
        <v>569.976</v>
      </c>
      <c r="I386" s="88">
        <v>1474.8336999999999</v>
      </c>
      <c r="J386" s="88">
        <v>790.15539999999999</v>
      </c>
      <c r="K386" s="88">
        <v>447.63089999999988</v>
      </c>
      <c r="L386" s="88">
        <v>0.66670000000000007</v>
      </c>
      <c r="M386" s="88">
        <v>0</v>
      </c>
      <c r="N386" s="88">
        <v>0</v>
      </c>
      <c r="O386" s="88">
        <v>0</v>
      </c>
      <c r="P386" s="88">
        <v>3671.7048000000013</v>
      </c>
    </row>
    <row r="387" spans="2:16" hidden="1">
      <c r="B387" s="79"/>
      <c r="C387" s="79"/>
      <c r="D387" s="81" t="s">
        <v>119</v>
      </c>
      <c r="E387" s="87">
        <v>2007</v>
      </c>
      <c r="F387" s="88">
        <v>65.342999999999989</v>
      </c>
      <c r="G387" s="88">
        <v>344.17190000000016</v>
      </c>
      <c r="H387" s="88">
        <v>618.67689999999993</v>
      </c>
      <c r="I387" s="88">
        <v>1488.4445000000007</v>
      </c>
      <c r="J387" s="88">
        <v>923.30030000000022</v>
      </c>
      <c r="K387" s="88">
        <v>453.86400000000003</v>
      </c>
      <c r="L387" s="88">
        <v>11.8344</v>
      </c>
      <c r="M387" s="88">
        <v>0</v>
      </c>
      <c r="N387" s="88">
        <v>0</v>
      </c>
      <c r="O387" s="88">
        <v>0</v>
      </c>
      <c r="P387" s="88">
        <v>3905.6350000000011</v>
      </c>
    </row>
    <row r="388" spans="2:16" hidden="1">
      <c r="B388" s="79"/>
      <c r="C388" s="79"/>
      <c r="D388" s="81" t="s">
        <v>119</v>
      </c>
      <c r="E388" s="87">
        <v>2008</v>
      </c>
      <c r="F388" s="88">
        <v>56.485900000000008</v>
      </c>
      <c r="G388" s="88">
        <v>307.92159999999996</v>
      </c>
      <c r="H388" s="88">
        <v>625.5111999999998</v>
      </c>
      <c r="I388" s="88">
        <v>1556.4635000000001</v>
      </c>
      <c r="J388" s="88">
        <v>913.92889999999989</v>
      </c>
      <c r="K388" s="88">
        <v>443.95259999999996</v>
      </c>
      <c r="L388" s="88">
        <v>47.225199999999994</v>
      </c>
      <c r="M388" s="88">
        <v>0</v>
      </c>
      <c r="N388" s="88">
        <v>0</v>
      </c>
      <c r="O388" s="88">
        <v>0</v>
      </c>
      <c r="P388" s="88">
        <v>3951.4889000000012</v>
      </c>
    </row>
    <row r="389" spans="2:16" hidden="1">
      <c r="B389" s="79"/>
      <c r="C389" s="79"/>
      <c r="D389" s="81" t="s">
        <v>119</v>
      </c>
      <c r="E389" s="87">
        <v>2009</v>
      </c>
      <c r="F389" s="88">
        <v>50.579099999999997</v>
      </c>
      <c r="G389" s="88">
        <v>332.70409999999998</v>
      </c>
      <c r="H389" s="88">
        <v>520.10729999999978</v>
      </c>
      <c r="I389" s="88">
        <v>1448.6289999999992</v>
      </c>
      <c r="J389" s="88">
        <v>1030.2730999999999</v>
      </c>
      <c r="K389" s="88">
        <v>535.06770000000017</v>
      </c>
      <c r="L389" s="88">
        <v>53.117799999999995</v>
      </c>
      <c r="M389" s="88">
        <v>0</v>
      </c>
      <c r="N389" s="88">
        <v>0</v>
      </c>
      <c r="O389" s="88">
        <v>0</v>
      </c>
      <c r="P389" s="88">
        <v>3970.4781000000012</v>
      </c>
    </row>
    <row r="390" spans="2:16" hidden="1">
      <c r="B390" s="79"/>
      <c r="C390" s="79"/>
      <c r="D390" s="81" t="s">
        <v>119</v>
      </c>
      <c r="E390" s="87">
        <v>2010</v>
      </c>
      <c r="F390" s="88">
        <v>62.431300000000007</v>
      </c>
      <c r="G390" s="88">
        <v>317.61619999999999</v>
      </c>
      <c r="H390" s="88">
        <v>637.67780000000016</v>
      </c>
      <c r="I390" s="88">
        <v>1341.8714999999997</v>
      </c>
      <c r="J390" s="88">
        <v>871.46609999999987</v>
      </c>
      <c r="K390" s="88">
        <v>672.86840000000029</v>
      </c>
      <c r="L390" s="88">
        <v>61.917700000000004</v>
      </c>
      <c r="M390" s="88">
        <v>0</v>
      </c>
      <c r="N390" s="88">
        <v>0</v>
      </c>
      <c r="O390" s="88">
        <v>0</v>
      </c>
      <c r="P390" s="88">
        <v>3965.8490000000002</v>
      </c>
    </row>
    <row r="391" spans="2:16" hidden="1">
      <c r="B391" s="79"/>
      <c r="C391" s="79"/>
      <c r="D391" s="81" t="s">
        <v>119</v>
      </c>
      <c r="E391" s="87">
        <v>2011</v>
      </c>
      <c r="F391" s="88">
        <v>70.09190000000001</v>
      </c>
      <c r="G391" s="88">
        <v>418.61709999999994</v>
      </c>
      <c r="H391" s="88">
        <v>676.9783000000001</v>
      </c>
      <c r="I391" s="88">
        <v>1333.0397999999996</v>
      </c>
      <c r="J391" s="88">
        <v>919.16849999999977</v>
      </c>
      <c r="K391" s="88">
        <v>772.79470000000003</v>
      </c>
      <c r="L391" s="88">
        <v>49.165000000000006</v>
      </c>
      <c r="M391" s="88">
        <v>0</v>
      </c>
      <c r="N391" s="88">
        <v>0</v>
      </c>
      <c r="O391" s="88">
        <v>0</v>
      </c>
      <c r="P391" s="88">
        <v>4239.8552999999993</v>
      </c>
    </row>
    <row r="392" spans="2:16" hidden="1">
      <c r="B392" s="79"/>
      <c r="C392" s="89"/>
      <c r="D392" s="81" t="s">
        <v>119</v>
      </c>
      <c r="E392" s="82">
        <v>2012</v>
      </c>
      <c r="F392" s="83">
        <v>54.535200000000003</v>
      </c>
      <c r="G392" s="83">
        <v>399.08489999999983</v>
      </c>
      <c r="H392" s="83">
        <v>713.01919999999996</v>
      </c>
      <c r="I392" s="83">
        <v>1081.3278000000003</v>
      </c>
      <c r="J392" s="83">
        <v>903.54700000000014</v>
      </c>
      <c r="K392" s="83">
        <v>821.80010000000004</v>
      </c>
      <c r="L392" s="83">
        <v>92.721599999999981</v>
      </c>
      <c r="M392" s="83">
        <v>0</v>
      </c>
      <c r="N392" s="83">
        <v>0</v>
      </c>
      <c r="O392" s="83">
        <v>0</v>
      </c>
      <c r="P392" s="83">
        <v>4066.035800000001</v>
      </c>
    </row>
    <row r="393" spans="2:16" hidden="1">
      <c r="B393" s="79"/>
      <c r="C393" s="76" t="s">
        <v>188</v>
      </c>
      <c r="D393" s="77" t="s">
        <v>179</v>
      </c>
      <c r="E393" s="85">
        <v>2005</v>
      </c>
      <c r="F393" s="86">
        <v>56.365600000000001</v>
      </c>
      <c r="G393" s="86">
        <v>535.74480000000017</v>
      </c>
      <c r="H393" s="86">
        <v>947.37109999999984</v>
      </c>
      <c r="I393" s="86">
        <v>802.0916000000002</v>
      </c>
      <c r="J393" s="86">
        <v>603.30960000000005</v>
      </c>
      <c r="K393" s="86">
        <v>1046.5064000000002</v>
      </c>
      <c r="L393" s="86">
        <v>98.121899999999997</v>
      </c>
      <c r="M393" s="86">
        <v>19.617400000000004</v>
      </c>
      <c r="N393" s="86">
        <v>7.8078000000000003</v>
      </c>
      <c r="O393" s="86">
        <v>0</v>
      </c>
      <c r="P393" s="86">
        <v>4116.9362000000019</v>
      </c>
    </row>
    <row r="394" spans="2:16" hidden="1">
      <c r="B394" s="79"/>
      <c r="C394" s="79"/>
      <c r="D394" s="81" t="s">
        <v>180</v>
      </c>
      <c r="E394" s="87">
        <v>2006</v>
      </c>
      <c r="F394" s="88">
        <v>50.595699999999994</v>
      </c>
      <c r="G394" s="88">
        <v>510.39519999999999</v>
      </c>
      <c r="H394" s="88">
        <v>810.14319999999987</v>
      </c>
      <c r="I394" s="88">
        <v>692.63639999999987</v>
      </c>
      <c r="J394" s="88">
        <v>439.93329999999997</v>
      </c>
      <c r="K394" s="88">
        <v>1101.0278000000001</v>
      </c>
      <c r="L394" s="88">
        <v>56.584099999999978</v>
      </c>
      <c r="M394" s="88">
        <v>14.511000000000003</v>
      </c>
      <c r="N394" s="88">
        <v>10.465</v>
      </c>
      <c r="O394" s="88">
        <v>0</v>
      </c>
      <c r="P394" s="88">
        <v>3686.2916999999998</v>
      </c>
    </row>
    <row r="395" spans="2:16" hidden="1">
      <c r="B395" s="79"/>
      <c r="C395" s="79"/>
      <c r="D395" s="81" t="s">
        <v>180</v>
      </c>
      <c r="E395" s="87">
        <v>2007</v>
      </c>
      <c r="F395" s="88">
        <v>61.058399999999999</v>
      </c>
      <c r="G395" s="88">
        <v>325.15100000000012</v>
      </c>
      <c r="H395" s="88">
        <v>793.58420000000024</v>
      </c>
      <c r="I395" s="88">
        <v>637.95679999999982</v>
      </c>
      <c r="J395" s="88">
        <v>382.68320000000011</v>
      </c>
      <c r="K395" s="88">
        <v>1073.4322</v>
      </c>
      <c r="L395" s="88">
        <v>33.577300000000008</v>
      </c>
      <c r="M395" s="88">
        <v>13.414999999999999</v>
      </c>
      <c r="N395" s="88">
        <v>12.47</v>
      </c>
      <c r="O395" s="88">
        <v>0</v>
      </c>
      <c r="P395" s="88">
        <v>3333.3280999999997</v>
      </c>
    </row>
    <row r="396" spans="2:16" hidden="1">
      <c r="B396" s="79"/>
      <c r="C396" s="79"/>
      <c r="D396" s="81" t="s">
        <v>180</v>
      </c>
      <c r="E396" s="87">
        <v>2008</v>
      </c>
      <c r="F396" s="88">
        <v>135.01510000000022</v>
      </c>
      <c r="G396" s="88">
        <v>392.94089999999977</v>
      </c>
      <c r="H396" s="88">
        <v>808.59220000000005</v>
      </c>
      <c r="I396" s="88">
        <v>628.82669999999996</v>
      </c>
      <c r="J396" s="88">
        <v>362.3603</v>
      </c>
      <c r="K396" s="88">
        <v>1069.9956999999997</v>
      </c>
      <c r="L396" s="88">
        <v>1.3784000000000003</v>
      </c>
      <c r="M396" s="88">
        <v>8.1460000000000008</v>
      </c>
      <c r="N396" s="88">
        <v>8.0003999999999991</v>
      </c>
      <c r="O396" s="88">
        <v>0</v>
      </c>
      <c r="P396" s="88">
        <v>3415.255699999997</v>
      </c>
    </row>
    <row r="397" spans="2:16" hidden="1">
      <c r="B397" s="79"/>
      <c r="C397" s="79"/>
      <c r="D397" s="81" t="s">
        <v>180</v>
      </c>
      <c r="E397" s="87">
        <v>2009</v>
      </c>
      <c r="F397" s="88">
        <v>67.198700000000059</v>
      </c>
      <c r="G397" s="88">
        <v>418.50060000000008</v>
      </c>
      <c r="H397" s="88">
        <v>900.24969999999996</v>
      </c>
      <c r="I397" s="88">
        <v>754.62670000000014</v>
      </c>
      <c r="J397" s="88">
        <v>446.19740000000002</v>
      </c>
      <c r="K397" s="88">
        <v>1052.6190999999997</v>
      </c>
      <c r="L397" s="88">
        <v>2.7836000000000003</v>
      </c>
      <c r="M397" s="88">
        <v>15.085000000000001</v>
      </c>
      <c r="N397" s="88">
        <v>0.97</v>
      </c>
      <c r="O397" s="88">
        <v>0</v>
      </c>
      <c r="P397" s="88">
        <v>3658.2308000000007</v>
      </c>
    </row>
    <row r="398" spans="2:16" hidden="1">
      <c r="B398" s="79"/>
      <c r="C398" s="79"/>
      <c r="D398" s="81" t="s">
        <v>180</v>
      </c>
      <c r="E398" s="87">
        <v>2010</v>
      </c>
      <c r="F398" s="88">
        <v>32.698100000000004</v>
      </c>
      <c r="G398" s="88">
        <v>334.18810000000002</v>
      </c>
      <c r="H398" s="88">
        <v>815.01580000000001</v>
      </c>
      <c r="I398" s="88">
        <v>696.71420000000012</v>
      </c>
      <c r="J398" s="88">
        <v>463.45339999999993</v>
      </c>
      <c r="K398" s="88">
        <v>1151.0079999999998</v>
      </c>
      <c r="L398" s="88">
        <v>7.8593000000000002</v>
      </c>
      <c r="M398" s="88">
        <v>8.875</v>
      </c>
      <c r="N398" s="88">
        <v>0</v>
      </c>
      <c r="O398" s="88">
        <v>0</v>
      </c>
      <c r="P398" s="88">
        <v>3509.8119000000002</v>
      </c>
    </row>
    <row r="399" spans="2:16" hidden="1">
      <c r="B399" s="79"/>
      <c r="C399" s="79"/>
      <c r="D399" s="81" t="s">
        <v>180</v>
      </c>
      <c r="E399" s="87">
        <v>2011</v>
      </c>
      <c r="F399" s="88">
        <v>95.040100000000038</v>
      </c>
      <c r="G399" s="88">
        <v>276.8259000000001</v>
      </c>
      <c r="H399" s="88">
        <v>710.67119999999989</v>
      </c>
      <c r="I399" s="88">
        <v>622.60560000000009</v>
      </c>
      <c r="J399" s="88">
        <v>455.48300000000012</v>
      </c>
      <c r="K399" s="88">
        <v>1136.2237</v>
      </c>
      <c r="L399" s="88">
        <v>10.676</v>
      </c>
      <c r="M399" s="88">
        <v>4.875</v>
      </c>
      <c r="N399" s="88">
        <v>0</v>
      </c>
      <c r="O399" s="88">
        <v>0</v>
      </c>
      <c r="P399" s="88">
        <v>3312.4005000000006</v>
      </c>
    </row>
    <row r="400" spans="2:16" hidden="1">
      <c r="B400" s="79"/>
      <c r="C400" s="79"/>
      <c r="D400" s="81" t="s">
        <v>180</v>
      </c>
      <c r="E400" s="82">
        <v>2012</v>
      </c>
      <c r="F400" s="83">
        <v>91.612400000000036</v>
      </c>
      <c r="G400" s="83">
        <v>307.33109999999999</v>
      </c>
      <c r="H400" s="83">
        <v>746.98660000000029</v>
      </c>
      <c r="I400" s="83">
        <v>627.88929999999993</v>
      </c>
      <c r="J400" s="83">
        <v>453.15700000000015</v>
      </c>
      <c r="K400" s="83">
        <v>1062.6200999999999</v>
      </c>
      <c r="L400" s="83">
        <v>7.0442000000000009</v>
      </c>
      <c r="M400" s="83">
        <v>18.125</v>
      </c>
      <c r="N400" s="83">
        <v>1.5</v>
      </c>
      <c r="O400" s="83">
        <v>0</v>
      </c>
      <c r="P400" s="83">
        <v>3316.2656999999999</v>
      </c>
    </row>
    <row r="401" spans="2:16" hidden="1">
      <c r="B401" s="79"/>
      <c r="C401" s="79"/>
      <c r="D401" s="77" t="s">
        <v>180</v>
      </c>
      <c r="E401" s="87">
        <v>2005</v>
      </c>
      <c r="F401" s="88">
        <v>0.51</v>
      </c>
      <c r="G401" s="88">
        <v>4.4345999999999997</v>
      </c>
      <c r="H401" s="88">
        <v>33.033800000000006</v>
      </c>
      <c r="I401" s="88">
        <v>22.279499999999999</v>
      </c>
      <c r="J401" s="88">
        <v>102.9611</v>
      </c>
      <c r="K401" s="88">
        <v>148.76069999999999</v>
      </c>
      <c r="L401" s="88">
        <v>1.8069</v>
      </c>
      <c r="M401" s="88">
        <v>8.5830000000000002</v>
      </c>
      <c r="N401" s="88">
        <v>0</v>
      </c>
      <c r="O401" s="88">
        <v>0</v>
      </c>
      <c r="P401" s="88">
        <v>322.3696000000001</v>
      </c>
    </row>
    <row r="402" spans="2:16" hidden="1">
      <c r="B402" s="79"/>
      <c r="C402" s="79"/>
      <c r="D402" s="81" t="s">
        <v>179</v>
      </c>
      <c r="E402" s="87">
        <v>2006</v>
      </c>
      <c r="F402" s="88">
        <v>0</v>
      </c>
      <c r="G402" s="88">
        <v>1.0500000000000003</v>
      </c>
      <c r="H402" s="88">
        <v>24.673900000000003</v>
      </c>
      <c r="I402" s="88">
        <v>23.189399999999999</v>
      </c>
      <c r="J402" s="88">
        <v>77.904199999999989</v>
      </c>
      <c r="K402" s="88">
        <v>167.24749999999997</v>
      </c>
      <c r="L402" s="88">
        <v>1</v>
      </c>
      <c r="M402" s="88">
        <v>12.184999999999999</v>
      </c>
      <c r="N402" s="88">
        <v>2.0975000000000001</v>
      </c>
      <c r="O402" s="88">
        <v>0</v>
      </c>
      <c r="P402" s="88">
        <v>309.34749999999997</v>
      </c>
    </row>
    <row r="403" spans="2:16" hidden="1">
      <c r="B403" s="79"/>
      <c r="C403" s="79"/>
      <c r="D403" s="81" t="s">
        <v>179</v>
      </c>
      <c r="E403" s="87">
        <v>2007</v>
      </c>
      <c r="F403" s="88">
        <v>0</v>
      </c>
      <c r="G403" s="88">
        <v>1</v>
      </c>
      <c r="H403" s="88">
        <v>13.662700000000001</v>
      </c>
      <c r="I403" s="88">
        <v>22.559900000000003</v>
      </c>
      <c r="J403" s="88">
        <v>45.374099999999999</v>
      </c>
      <c r="K403" s="88">
        <v>147.51859999999999</v>
      </c>
      <c r="L403" s="88">
        <v>2</v>
      </c>
      <c r="M403" s="88">
        <v>15.865</v>
      </c>
      <c r="N403" s="88">
        <v>1.3444</v>
      </c>
      <c r="O403" s="88">
        <v>0</v>
      </c>
      <c r="P403" s="88">
        <v>249.32470000000004</v>
      </c>
    </row>
    <row r="404" spans="2:16" hidden="1">
      <c r="B404" s="79"/>
      <c r="C404" s="79"/>
      <c r="D404" s="81" t="s">
        <v>179</v>
      </c>
      <c r="E404" s="87">
        <v>2008</v>
      </c>
      <c r="F404" s="88">
        <v>0</v>
      </c>
      <c r="G404" s="88">
        <v>0.61660000000000015</v>
      </c>
      <c r="H404" s="88">
        <v>9.9133000000000013</v>
      </c>
      <c r="I404" s="88">
        <v>12.48</v>
      </c>
      <c r="J404" s="88">
        <v>38.819599999999994</v>
      </c>
      <c r="K404" s="88">
        <v>98.691699999999997</v>
      </c>
      <c r="L404" s="88">
        <v>0</v>
      </c>
      <c r="M404" s="88">
        <v>10.775</v>
      </c>
      <c r="N404" s="88">
        <v>2.9498000000000002</v>
      </c>
      <c r="O404" s="88">
        <v>0</v>
      </c>
      <c r="P404" s="88">
        <v>174.24599999999998</v>
      </c>
    </row>
    <row r="405" spans="2:16" hidden="1">
      <c r="B405" s="79"/>
      <c r="C405" s="79"/>
      <c r="D405" s="81" t="s">
        <v>179</v>
      </c>
      <c r="E405" s="87">
        <v>2009</v>
      </c>
      <c r="F405" s="88">
        <v>0.11549999999999999</v>
      </c>
      <c r="G405" s="88">
        <v>0.62549999999999994</v>
      </c>
      <c r="H405" s="88">
        <v>7.9021000000000008</v>
      </c>
      <c r="I405" s="88">
        <v>6.6162999999999998</v>
      </c>
      <c r="J405" s="88">
        <v>81.018200000000007</v>
      </c>
      <c r="K405" s="88">
        <v>101.28879999999999</v>
      </c>
      <c r="L405" s="88">
        <v>0</v>
      </c>
      <c r="M405" s="88">
        <v>6.14</v>
      </c>
      <c r="N405" s="88">
        <v>2.3956</v>
      </c>
      <c r="O405" s="88">
        <v>0</v>
      </c>
      <c r="P405" s="88">
        <v>206.10200000000006</v>
      </c>
    </row>
    <row r="406" spans="2:16" hidden="1">
      <c r="B406" s="79"/>
      <c r="C406" s="79"/>
      <c r="D406" s="81" t="s">
        <v>179</v>
      </c>
      <c r="E406" s="87">
        <v>2010</v>
      </c>
      <c r="F406" s="88">
        <v>0</v>
      </c>
      <c r="G406" s="88">
        <v>0</v>
      </c>
      <c r="H406" s="88">
        <v>4.3596000000000004</v>
      </c>
      <c r="I406" s="88">
        <v>17.268699999999999</v>
      </c>
      <c r="J406" s="88">
        <v>66.57480000000001</v>
      </c>
      <c r="K406" s="88">
        <v>99.340699999999998</v>
      </c>
      <c r="L406" s="88">
        <v>6.5</v>
      </c>
      <c r="M406" s="88">
        <v>4</v>
      </c>
      <c r="N406" s="88">
        <v>0.3</v>
      </c>
      <c r="O406" s="88">
        <v>0</v>
      </c>
      <c r="P406" s="88">
        <v>198.34380000000004</v>
      </c>
    </row>
    <row r="407" spans="2:16" hidden="1">
      <c r="B407" s="79"/>
      <c r="C407" s="79"/>
      <c r="D407" s="81" t="s">
        <v>179</v>
      </c>
      <c r="E407" s="87">
        <v>2011</v>
      </c>
      <c r="F407" s="88">
        <v>0</v>
      </c>
      <c r="G407" s="88">
        <v>0</v>
      </c>
      <c r="H407" s="88">
        <v>4.8026</v>
      </c>
      <c r="I407" s="88">
        <v>14.403500000000001</v>
      </c>
      <c r="J407" s="88">
        <v>75.24350000000004</v>
      </c>
      <c r="K407" s="88">
        <v>135.97150000000002</v>
      </c>
      <c r="L407" s="88">
        <v>9.875</v>
      </c>
      <c r="M407" s="88">
        <v>1.625</v>
      </c>
      <c r="N407" s="88">
        <v>0.66999999999999993</v>
      </c>
      <c r="O407" s="88">
        <v>0</v>
      </c>
      <c r="P407" s="88">
        <v>242.59110000000001</v>
      </c>
    </row>
    <row r="408" spans="2:16" hidden="1">
      <c r="B408" s="79"/>
      <c r="C408" s="79"/>
      <c r="D408" s="81" t="s">
        <v>179</v>
      </c>
      <c r="E408" s="82">
        <v>2012</v>
      </c>
      <c r="F408" s="83">
        <v>0</v>
      </c>
      <c r="G408" s="83">
        <v>1.9500000000000002</v>
      </c>
      <c r="H408" s="83">
        <v>3.2898999999999998</v>
      </c>
      <c r="I408" s="83">
        <v>20.3246</v>
      </c>
      <c r="J408" s="83">
        <v>70.553900000000027</v>
      </c>
      <c r="K408" s="83">
        <v>141.68990000000002</v>
      </c>
      <c r="L408" s="83">
        <v>16.5</v>
      </c>
      <c r="M408" s="83">
        <v>0</v>
      </c>
      <c r="N408" s="83">
        <v>0</v>
      </c>
      <c r="O408" s="83">
        <v>0</v>
      </c>
      <c r="P408" s="83">
        <v>254.30830000000003</v>
      </c>
    </row>
    <row r="409" spans="2:16" hidden="1">
      <c r="B409" s="79"/>
      <c r="C409" s="79"/>
      <c r="D409" s="77" t="s">
        <v>119</v>
      </c>
      <c r="E409" s="87">
        <v>2005</v>
      </c>
      <c r="F409" s="88">
        <v>56.875599999999999</v>
      </c>
      <c r="G409" s="88">
        <v>540.17940000000021</v>
      </c>
      <c r="H409" s="88">
        <v>980.40489999999988</v>
      </c>
      <c r="I409" s="88">
        <v>824.37110000000018</v>
      </c>
      <c r="J409" s="88">
        <v>706.27070000000003</v>
      </c>
      <c r="K409" s="88">
        <v>1195.2671000000003</v>
      </c>
      <c r="L409" s="88">
        <v>99.928799999999995</v>
      </c>
      <c r="M409" s="88">
        <v>28.200400000000002</v>
      </c>
      <c r="N409" s="88">
        <v>7.8078000000000003</v>
      </c>
      <c r="O409" s="88">
        <v>0</v>
      </c>
      <c r="P409" s="88">
        <v>4439.3058000000019</v>
      </c>
    </row>
    <row r="410" spans="2:16" hidden="1">
      <c r="B410" s="79"/>
      <c r="C410" s="79"/>
      <c r="D410" s="81" t="s">
        <v>119</v>
      </c>
      <c r="E410" s="87">
        <v>2006</v>
      </c>
      <c r="F410" s="88">
        <v>50.595699999999994</v>
      </c>
      <c r="G410" s="88">
        <v>511.4452</v>
      </c>
      <c r="H410" s="88">
        <v>834.81709999999987</v>
      </c>
      <c r="I410" s="88">
        <v>715.82579999999984</v>
      </c>
      <c r="J410" s="88">
        <v>517.83749999999998</v>
      </c>
      <c r="K410" s="88">
        <v>1268.2753</v>
      </c>
      <c r="L410" s="88">
        <v>57.584099999999978</v>
      </c>
      <c r="M410" s="88">
        <v>26.696000000000002</v>
      </c>
      <c r="N410" s="88">
        <v>12.5625</v>
      </c>
      <c r="O410" s="88">
        <v>0</v>
      </c>
      <c r="P410" s="88">
        <v>3995.6391999999996</v>
      </c>
    </row>
    <row r="411" spans="2:16" hidden="1">
      <c r="B411" s="79"/>
      <c r="C411" s="79"/>
      <c r="D411" s="81" t="s">
        <v>119</v>
      </c>
      <c r="E411" s="87">
        <v>2007</v>
      </c>
      <c r="F411" s="88">
        <v>61.058399999999999</v>
      </c>
      <c r="G411" s="88">
        <v>326.15100000000012</v>
      </c>
      <c r="H411" s="88">
        <v>807.24690000000021</v>
      </c>
      <c r="I411" s="88">
        <v>660.51669999999979</v>
      </c>
      <c r="J411" s="88">
        <v>428.05730000000011</v>
      </c>
      <c r="K411" s="88">
        <v>1220.9508000000001</v>
      </c>
      <c r="L411" s="88">
        <v>35.577300000000008</v>
      </c>
      <c r="M411" s="88">
        <v>29.28</v>
      </c>
      <c r="N411" s="88">
        <v>13.814400000000001</v>
      </c>
      <c r="O411" s="88">
        <v>0</v>
      </c>
      <c r="P411" s="88">
        <v>3582.6527999999998</v>
      </c>
    </row>
    <row r="412" spans="2:16" hidden="1">
      <c r="B412" s="79"/>
      <c r="C412" s="79"/>
      <c r="D412" s="81" t="s">
        <v>119</v>
      </c>
      <c r="E412" s="87">
        <v>2008</v>
      </c>
      <c r="F412" s="88">
        <v>135.01510000000022</v>
      </c>
      <c r="G412" s="88">
        <v>393.55749999999978</v>
      </c>
      <c r="H412" s="88">
        <v>818.5055000000001</v>
      </c>
      <c r="I412" s="88">
        <v>641.30669999999998</v>
      </c>
      <c r="J412" s="88">
        <v>401.17989999999998</v>
      </c>
      <c r="K412" s="88">
        <v>1168.6873999999998</v>
      </c>
      <c r="L412" s="88">
        <v>1.3784000000000003</v>
      </c>
      <c r="M412" s="88">
        <v>18.920999999999999</v>
      </c>
      <c r="N412" s="88">
        <v>10.950199999999999</v>
      </c>
      <c r="O412" s="88">
        <v>0</v>
      </c>
      <c r="P412" s="88">
        <v>3589.5016999999971</v>
      </c>
    </row>
    <row r="413" spans="2:16" hidden="1">
      <c r="B413" s="79"/>
      <c r="C413" s="79"/>
      <c r="D413" s="81" t="s">
        <v>119</v>
      </c>
      <c r="E413" s="87">
        <v>2009</v>
      </c>
      <c r="F413" s="88">
        <v>67.314200000000056</v>
      </c>
      <c r="G413" s="88">
        <v>419.12610000000006</v>
      </c>
      <c r="H413" s="88">
        <v>908.15179999999998</v>
      </c>
      <c r="I413" s="88">
        <v>761.24300000000017</v>
      </c>
      <c r="J413" s="88">
        <v>527.21559999999999</v>
      </c>
      <c r="K413" s="88">
        <v>1153.9078999999997</v>
      </c>
      <c r="L413" s="88">
        <v>2.7836000000000003</v>
      </c>
      <c r="M413" s="88">
        <v>21.225000000000001</v>
      </c>
      <c r="N413" s="88">
        <v>3.3655999999999997</v>
      </c>
      <c r="O413" s="88">
        <v>0</v>
      </c>
      <c r="P413" s="88">
        <v>3864.3328000000006</v>
      </c>
    </row>
    <row r="414" spans="2:16" hidden="1">
      <c r="B414" s="79"/>
      <c r="C414" s="79"/>
      <c r="D414" s="81" t="s">
        <v>119</v>
      </c>
      <c r="E414" s="87">
        <v>2010</v>
      </c>
      <c r="F414" s="88">
        <v>32.698100000000004</v>
      </c>
      <c r="G414" s="88">
        <v>334.18810000000002</v>
      </c>
      <c r="H414" s="88">
        <v>819.37540000000001</v>
      </c>
      <c r="I414" s="88">
        <v>713.98290000000009</v>
      </c>
      <c r="J414" s="88">
        <v>530.02819999999997</v>
      </c>
      <c r="K414" s="88">
        <v>1250.3486999999998</v>
      </c>
      <c r="L414" s="88">
        <v>14.359300000000001</v>
      </c>
      <c r="M414" s="88">
        <v>12.875</v>
      </c>
      <c r="N414" s="88">
        <v>0.3</v>
      </c>
      <c r="O414" s="88">
        <v>0</v>
      </c>
      <c r="P414" s="88">
        <v>3708.1557000000003</v>
      </c>
    </row>
    <row r="415" spans="2:16" hidden="1">
      <c r="B415" s="79"/>
      <c r="C415" s="79"/>
      <c r="D415" s="81" t="s">
        <v>119</v>
      </c>
      <c r="E415" s="87">
        <v>2011</v>
      </c>
      <c r="F415" s="88">
        <v>95.040100000000038</v>
      </c>
      <c r="G415" s="88">
        <v>276.8259000000001</v>
      </c>
      <c r="H415" s="88">
        <v>715.47379999999987</v>
      </c>
      <c r="I415" s="88">
        <v>637.0091000000001</v>
      </c>
      <c r="J415" s="88">
        <v>530.72650000000021</v>
      </c>
      <c r="K415" s="88">
        <v>1272.1952000000001</v>
      </c>
      <c r="L415" s="88">
        <v>20.551000000000002</v>
      </c>
      <c r="M415" s="88">
        <v>6.5</v>
      </c>
      <c r="N415" s="88">
        <v>0.66999999999999993</v>
      </c>
      <c r="O415" s="88">
        <v>0</v>
      </c>
      <c r="P415" s="88">
        <v>3554.9916000000007</v>
      </c>
    </row>
    <row r="416" spans="2:16" hidden="1">
      <c r="B416" s="79"/>
      <c r="C416" s="89"/>
      <c r="D416" s="81" t="s">
        <v>119</v>
      </c>
      <c r="E416" s="82">
        <v>2012</v>
      </c>
      <c r="F416" s="83">
        <v>91.612400000000036</v>
      </c>
      <c r="G416" s="83">
        <v>309.28109999999998</v>
      </c>
      <c r="H416" s="83">
        <v>750.27650000000028</v>
      </c>
      <c r="I416" s="83">
        <v>648.21389999999997</v>
      </c>
      <c r="J416" s="83">
        <v>523.71090000000015</v>
      </c>
      <c r="K416" s="83">
        <v>1204.31</v>
      </c>
      <c r="L416" s="83">
        <v>23.5442</v>
      </c>
      <c r="M416" s="83">
        <v>18.125</v>
      </c>
      <c r="N416" s="83">
        <v>1.5</v>
      </c>
      <c r="O416" s="83">
        <v>0</v>
      </c>
      <c r="P416" s="83">
        <v>3570.5740000000001</v>
      </c>
    </row>
    <row r="417" spans="2:16" hidden="1">
      <c r="B417" s="79"/>
      <c r="C417" s="76" t="s">
        <v>189</v>
      </c>
      <c r="D417" s="77" t="s">
        <v>179</v>
      </c>
      <c r="E417" s="85">
        <v>2005</v>
      </c>
      <c r="F417" s="86">
        <v>149.28750000000002</v>
      </c>
      <c r="G417" s="86">
        <v>440.90589999999992</v>
      </c>
      <c r="H417" s="86">
        <v>929.29940000000011</v>
      </c>
      <c r="I417" s="86">
        <v>1133.6683000000003</v>
      </c>
      <c r="J417" s="86">
        <v>1382.4405000000006</v>
      </c>
      <c r="K417" s="86">
        <v>792.24300000000062</v>
      </c>
      <c r="L417" s="86">
        <v>56.7074</v>
      </c>
      <c r="M417" s="86">
        <v>13.6523</v>
      </c>
      <c r="N417" s="86">
        <v>0</v>
      </c>
      <c r="O417" s="86">
        <v>0</v>
      </c>
      <c r="P417" s="86">
        <v>4898.2043000000021</v>
      </c>
    </row>
    <row r="418" spans="2:16" hidden="1">
      <c r="B418" s="79"/>
      <c r="C418" s="79"/>
      <c r="D418" s="81" t="s">
        <v>180</v>
      </c>
      <c r="E418" s="87">
        <v>2006</v>
      </c>
      <c r="F418" s="88">
        <v>176.88909999999998</v>
      </c>
      <c r="G418" s="88">
        <v>567.04660000000013</v>
      </c>
      <c r="H418" s="88">
        <v>867.2102000000001</v>
      </c>
      <c r="I418" s="88">
        <v>1134.0124000000001</v>
      </c>
      <c r="J418" s="88">
        <v>1275.8206</v>
      </c>
      <c r="K418" s="88">
        <v>815.53949999999986</v>
      </c>
      <c r="L418" s="88">
        <v>39.209899999999998</v>
      </c>
      <c r="M418" s="88">
        <v>10.0741</v>
      </c>
      <c r="N418" s="88">
        <v>0</v>
      </c>
      <c r="O418" s="88">
        <v>0</v>
      </c>
      <c r="P418" s="88">
        <v>4885.8024000000014</v>
      </c>
    </row>
    <row r="419" spans="2:16" hidden="1">
      <c r="B419" s="79"/>
      <c r="C419" s="79"/>
      <c r="D419" s="81" t="s">
        <v>180</v>
      </c>
      <c r="E419" s="87">
        <v>2007</v>
      </c>
      <c r="F419" s="88">
        <v>48.400000000000006</v>
      </c>
      <c r="G419" s="88">
        <v>724.67659999999978</v>
      </c>
      <c r="H419" s="88">
        <v>841.97240000000011</v>
      </c>
      <c r="I419" s="88">
        <v>1200.1142000000007</v>
      </c>
      <c r="J419" s="88">
        <v>1051.2374000000002</v>
      </c>
      <c r="K419" s="88">
        <v>967.28470000000016</v>
      </c>
      <c r="L419" s="88">
        <v>41.60929999999999</v>
      </c>
      <c r="M419" s="88">
        <v>13.416499999999999</v>
      </c>
      <c r="N419" s="88">
        <v>0</v>
      </c>
      <c r="O419" s="88">
        <v>0</v>
      </c>
      <c r="P419" s="88">
        <v>4888.7111000000023</v>
      </c>
    </row>
    <row r="420" spans="2:16" hidden="1">
      <c r="B420" s="79"/>
      <c r="C420" s="79"/>
      <c r="D420" s="81" t="s">
        <v>180</v>
      </c>
      <c r="E420" s="87">
        <v>2008</v>
      </c>
      <c r="F420" s="88">
        <v>48.900000000000006</v>
      </c>
      <c r="G420" s="88">
        <v>745.38869999999997</v>
      </c>
      <c r="H420" s="88">
        <v>941.05280000000016</v>
      </c>
      <c r="I420" s="88">
        <v>1152.8966000000003</v>
      </c>
      <c r="J420" s="88">
        <v>949.34479999999985</v>
      </c>
      <c r="K420" s="88">
        <v>998.11900000000014</v>
      </c>
      <c r="L420" s="88">
        <v>39.493000000000002</v>
      </c>
      <c r="M420" s="88">
        <v>2.9997999999999996</v>
      </c>
      <c r="N420" s="88">
        <v>0</v>
      </c>
      <c r="O420" s="88">
        <v>0</v>
      </c>
      <c r="P420" s="88">
        <v>4878.1947000000036</v>
      </c>
    </row>
    <row r="421" spans="2:16" hidden="1">
      <c r="B421" s="79"/>
      <c r="C421" s="79"/>
      <c r="D421" s="81" t="s">
        <v>180</v>
      </c>
      <c r="E421" s="87">
        <v>2009</v>
      </c>
      <c r="F421" s="88">
        <v>48.780000000000008</v>
      </c>
      <c r="G421" s="88">
        <v>887.10969999999998</v>
      </c>
      <c r="H421" s="88">
        <v>1178.7180000000001</v>
      </c>
      <c r="I421" s="88">
        <v>1377.2336</v>
      </c>
      <c r="J421" s="88">
        <v>1035.1751999999999</v>
      </c>
      <c r="K421" s="88">
        <v>1179.8350999999998</v>
      </c>
      <c r="L421" s="88">
        <v>44.365000000000009</v>
      </c>
      <c r="M421" s="88">
        <v>1.8332999999999999</v>
      </c>
      <c r="N421" s="88">
        <v>0</v>
      </c>
      <c r="O421" s="88">
        <v>0</v>
      </c>
      <c r="P421" s="88">
        <v>5753.0499000000018</v>
      </c>
    </row>
    <row r="422" spans="2:16" hidden="1">
      <c r="B422" s="79"/>
      <c r="C422" s="79"/>
      <c r="D422" s="81" t="s">
        <v>180</v>
      </c>
      <c r="E422" s="87">
        <v>2010</v>
      </c>
      <c r="F422" s="88">
        <v>75.547899999999998</v>
      </c>
      <c r="G422" s="88">
        <v>979.07140000000015</v>
      </c>
      <c r="H422" s="88">
        <v>1325.0104000000003</v>
      </c>
      <c r="I422" s="88">
        <v>1410.1656000000005</v>
      </c>
      <c r="J422" s="88">
        <v>1094.0640000000001</v>
      </c>
      <c r="K422" s="88">
        <v>1355.9424999999999</v>
      </c>
      <c r="L422" s="88">
        <v>38.724000000000004</v>
      </c>
      <c r="M422" s="88">
        <v>2.2081999999999997</v>
      </c>
      <c r="N422" s="88">
        <v>0</v>
      </c>
      <c r="O422" s="88">
        <v>0</v>
      </c>
      <c r="P422" s="88">
        <v>6280.7339999999976</v>
      </c>
    </row>
    <row r="423" spans="2:16" hidden="1">
      <c r="B423" s="79"/>
      <c r="C423" s="79"/>
      <c r="D423" s="81" t="s">
        <v>180</v>
      </c>
      <c r="E423" s="87">
        <v>2011</v>
      </c>
      <c r="F423" s="88">
        <v>97.649999999999977</v>
      </c>
      <c r="G423" s="88">
        <v>1090.6984999999997</v>
      </c>
      <c r="H423" s="88">
        <v>1463.3190999999999</v>
      </c>
      <c r="I423" s="88">
        <v>1285.2634</v>
      </c>
      <c r="J423" s="88">
        <v>1187.3522</v>
      </c>
      <c r="K423" s="88">
        <v>1609.5120000000002</v>
      </c>
      <c r="L423" s="88">
        <v>38.754800000000003</v>
      </c>
      <c r="M423" s="88">
        <v>1.375</v>
      </c>
      <c r="N423" s="88">
        <v>0</v>
      </c>
      <c r="O423" s="88">
        <v>0</v>
      </c>
      <c r="P423" s="88">
        <v>6773.9249999999993</v>
      </c>
    </row>
    <row r="424" spans="2:16" hidden="1">
      <c r="B424" s="79"/>
      <c r="C424" s="79"/>
      <c r="D424" s="81" t="s">
        <v>180</v>
      </c>
      <c r="E424" s="82">
        <v>2012</v>
      </c>
      <c r="F424" s="83">
        <v>113.56659999999999</v>
      </c>
      <c r="G424" s="83">
        <v>1130.6501999999998</v>
      </c>
      <c r="H424" s="83">
        <v>1535.5052000000003</v>
      </c>
      <c r="I424" s="83">
        <v>1350.7430999999997</v>
      </c>
      <c r="J424" s="83">
        <v>1063.6623999999999</v>
      </c>
      <c r="K424" s="83">
        <v>1807.8289999999997</v>
      </c>
      <c r="L424" s="83">
        <v>31.998699999999999</v>
      </c>
      <c r="M424" s="83">
        <v>0.74990000000000001</v>
      </c>
      <c r="N424" s="83">
        <v>0</v>
      </c>
      <c r="O424" s="83">
        <v>0</v>
      </c>
      <c r="P424" s="83">
        <v>7034.7051000000029</v>
      </c>
    </row>
    <row r="425" spans="2:16" hidden="1">
      <c r="B425" s="79"/>
      <c r="C425" s="79"/>
      <c r="D425" s="77" t="s">
        <v>180</v>
      </c>
      <c r="E425" s="87">
        <v>2005</v>
      </c>
      <c r="F425" s="88">
        <v>0</v>
      </c>
      <c r="G425" s="88">
        <v>17.650200000000002</v>
      </c>
      <c r="H425" s="88">
        <v>126.63639999999999</v>
      </c>
      <c r="I425" s="88">
        <v>49.129499999999993</v>
      </c>
      <c r="J425" s="88">
        <v>277.3626000000001</v>
      </c>
      <c r="K425" s="88">
        <v>246.39629999999997</v>
      </c>
      <c r="L425" s="88">
        <v>18.737099999999998</v>
      </c>
      <c r="M425" s="88">
        <v>5.2198999999999991</v>
      </c>
      <c r="N425" s="88">
        <v>0</v>
      </c>
      <c r="O425" s="88">
        <v>0</v>
      </c>
      <c r="P425" s="88">
        <v>741.13200000000018</v>
      </c>
    </row>
    <row r="426" spans="2:16" hidden="1">
      <c r="B426" s="79"/>
      <c r="C426" s="79"/>
      <c r="D426" s="81" t="s">
        <v>179</v>
      </c>
      <c r="E426" s="87">
        <v>2006</v>
      </c>
      <c r="F426" s="88">
        <v>0</v>
      </c>
      <c r="G426" s="88">
        <v>18.2943</v>
      </c>
      <c r="H426" s="88">
        <v>107.85719999999998</v>
      </c>
      <c r="I426" s="88">
        <v>72.458500000000001</v>
      </c>
      <c r="J426" s="88">
        <v>245.58360000000008</v>
      </c>
      <c r="K426" s="88">
        <v>202.57210000000006</v>
      </c>
      <c r="L426" s="88">
        <v>13.913399999999999</v>
      </c>
      <c r="M426" s="88">
        <v>4.4898999999999996</v>
      </c>
      <c r="N426" s="88">
        <v>0</v>
      </c>
      <c r="O426" s="88">
        <v>0</v>
      </c>
      <c r="P426" s="88">
        <v>665.1690000000001</v>
      </c>
    </row>
    <row r="427" spans="2:16" hidden="1">
      <c r="B427" s="79"/>
      <c r="C427" s="79"/>
      <c r="D427" s="81" t="s">
        <v>179</v>
      </c>
      <c r="E427" s="87">
        <v>2007</v>
      </c>
      <c r="F427" s="88">
        <v>0</v>
      </c>
      <c r="G427" s="88">
        <v>20.065799999999992</v>
      </c>
      <c r="H427" s="88">
        <v>140.90350000000004</v>
      </c>
      <c r="I427" s="88">
        <v>91.426699999999983</v>
      </c>
      <c r="J427" s="88">
        <v>203.44300000000004</v>
      </c>
      <c r="K427" s="88">
        <v>148.7321</v>
      </c>
      <c r="L427" s="88">
        <v>6.6675000000000004</v>
      </c>
      <c r="M427" s="88">
        <v>6.8333000000000004</v>
      </c>
      <c r="N427" s="88">
        <v>0</v>
      </c>
      <c r="O427" s="88">
        <v>0</v>
      </c>
      <c r="P427" s="88">
        <v>618.07190000000003</v>
      </c>
    </row>
    <row r="428" spans="2:16" hidden="1">
      <c r="B428" s="79"/>
      <c r="C428" s="79"/>
      <c r="D428" s="81" t="s">
        <v>179</v>
      </c>
      <c r="E428" s="87">
        <v>2008</v>
      </c>
      <c r="F428" s="88">
        <v>0</v>
      </c>
      <c r="G428" s="88">
        <v>20.087499999999995</v>
      </c>
      <c r="H428" s="88">
        <v>169.1275</v>
      </c>
      <c r="I428" s="88">
        <v>110.26310000000002</v>
      </c>
      <c r="J428" s="88">
        <v>264.74349999999998</v>
      </c>
      <c r="K428" s="88">
        <v>120.34240000000003</v>
      </c>
      <c r="L428" s="88">
        <v>16.2102</v>
      </c>
      <c r="M428" s="88">
        <v>1.2082999999999999</v>
      </c>
      <c r="N428" s="88">
        <v>0</v>
      </c>
      <c r="O428" s="88">
        <v>0</v>
      </c>
      <c r="P428" s="88">
        <v>701.98250000000019</v>
      </c>
    </row>
    <row r="429" spans="2:16" hidden="1">
      <c r="B429" s="79"/>
      <c r="C429" s="79"/>
      <c r="D429" s="81" t="s">
        <v>179</v>
      </c>
      <c r="E429" s="87">
        <v>2009</v>
      </c>
      <c r="F429" s="88">
        <v>0</v>
      </c>
      <c r="G429" s="88">
        <v>14.799899999999997</v>
      </c>
      <c r="H429" s="88">
        <v>116.15679999999999</v>
      </c>
      <c r="I429" s="88">
        <v>68.85990000000001</v>
      </c>
      <c r="J429" s="88">
        <v>275.44720000000001</v>
      </c>
      <c r="K429" s="88">
        <v>115.53339999999999</v>
      </c>
      <c r="L429" s="88">
        <v>10.501099999999999</v>
      </c>
      <c r="M429" s="88">
        <v>0.83329999999999993</v>
      </c>
      <c r="N429" s="88">
        <v>0</v>
      </c>
      <c r="O429" s="88">
        <v>0</v>
      </c>
      <c r="P429" s="88">
        <v>602.13160000000005</v>
      </c>
    </row>
    <row r="430" spans="2:16" hidden="1">
      <c r="B430" s="79"/>
      <c r="C430" s="79"/>
      <c r="D430" s="81" t="s">
        <v>179</v>
      </c>
      <c r="E430" s="87">
        <v>2010</v>
      </c>
      <c r="F430" s="88">
        <v>0</v>
      </c>
      <c r="G430" s="88">
        <v>11.178800000000001</v>
      </c>
      <c r="H430" s="88">
        <v>103.24550000000001</v>
      </c>
      <c r="I430" s="88">
        <v>52.656600000000012</v>
      </c>
      <c r="J430" s="88">
        <v>205.1755</v>
      </c>
      <c r="K430" s="88">
        <v>141.23749999999998</v>
      </c>
      <c r="L430" s="88">
        <v>11.334200000000001</v>
      </c>
      <c r="M430" s="88">
        <v>0</v>
      </c>
      <c r="N430" s="88">
        <v>0</v>
      </c>
      <c r="O430" s="88">
        <v>0</v>
      </c>
      <c r="P430" s="88">
        <v>524.82810000000018</v>
      </c>
    </row>
    <row r="431" spans="2:16" hidden="1">
      <c r="B431" s="79"/>
      <c r="C431" s="79"/>
      <c r="D431" s="81" t="s">
        <v>179</v>
      </c>
      <c r="E431" s="87">
        <v>2011</v>
      </c>
      <c r="F431" s="88">
        <v>0</v>
      </c>
      <c r="G431" s="88">
        <v>14.925699999999999</v>
      </c>
      <c r="H431" s="88">
        <v>79.638800000000018</v>
      </c>
      <c r="I431" s="88">
        <v>42.127699999999997</v>
      </c>
      <c r="J431" s="88">
        <v>176.65629999999999</v>
      </c>
      <c r="K431" s="88">
        <v>138.34170000000003</v>
      </c>
      <c r="L431" s="88">
        <v>9.3335999999999988</v>
      </c>
      <c r="M431" s="88">
        <v>0</v>
      </c>
      <c r="N431" s="88">
        <v>0</v>
      </c>
      <c r="O431" s="88">
        <v>0</v>
      </c>
      <c r="P431" s="88">
        <v>461.02379999999994</v>
      </c>
    </row>
    <row r="432" spans="2:16" hidden="1">
      <c r="B432" s="79"/>
      <c r="C432" s="79"/>
      <c r="D432" s="81" t="s">
        <v>179</v>
      </c>
      <c r="E432" s="82">
        <v>2012</v>
      </c>
      <c r="F432" s="83">
        <v>0</v>
      </c>
      <c r="G432" s="83">
        <v>13.0542</v>
      </c>
      <c r="H432" s="83">
        <v>78.134900000000016</v>
      </c>
      <c r="I432" s="83">
        <v>32.471799999999995</v>
      </c>
      <c r="J432" s="83">
        <v>189.25560000000007</v>
      </c>
      <c r="K432" s="83">
        <v>170.2302</v>
      </c>
      <c r="L432" s="83">
        <v>5.7084000000000001</v>
      </c>
      <c r="M432" s="83">
        <v>0</v>
      </c>
      <c r="N432" s="83">
        <v>0</v>
      </c>
      <c r="O432" s="83">
        <v>0</v>
      </c>
      <c r="P432" s="83">
        <v>488.85509999999999</v>
      </c>
    </row>
    <row r="433" spans="2:16" hidden="1">
      <c r="B433" s="79"/>
      <c r="C433" s="79"/>
      <c r="D433" s="77" t="s">
        <v>119</v>
      </c>
      <c r="E433" s="87">
        <v>2005</v>
      </c>
      <c r="F433" s="88">
        <v>149.28750000000002</v>
      </c>
      <c r="G433" s="88">
        <v>458.5560999999999</v>
      </c>
      <c r="H433" s="88">
        <v>1055.9358000000002</v>
      </c>
      <c r="I433" s="88">
        <v>1182.7978000000003</v>
      </c>
      <c r="J433" s="88">
        <v>1659.8031000000008</v>
      </c>
      <c r="K433" s="88">
        <v>1038.6393000000005</v>
      </c>
      <c r="L433" s="88">
        <v>75.444500000000005</v>
      </c>
      <c r="M433" s="88">
        <v>18.872199999999999</v>
      </c>
      <c r="N433" s="88">
        <v>0</v>
      </c>
      <c r="O433" s="88">
        <v>0</v>
      </c>
      <c r="P433" s="88">
        <v>5639.3363000000027</v>
      </c>
    </row>
    <row r="434" spans="2:16" hidden="1">
      <c r="B434" s="79"/>
      <c r="C434" s="79"/>
      <c r="D434" s="81" t="s">
        <v>119</v>
      </c>
      <c r="E434" s="87">
        <v>2006</v>
      </c>
      <c r="F434" s="88">
        <v>176.88909999999998</v>
      </c>
      <c r="G434" s="88">
        <v>585.34090000000015</v>
      </c>
      <c r="H434" s="88">
        <v>975.06740000000013</v>
      </c>
      <c r="I434" s="88">
        <v>1206.4709</v>
      </c>
      <c r="J434" s="88">
        <v>1521.4042000000002</v>
      </c>
      <c r="K434" s="88">
        <v>1018.1116</v>
      </c>
      <c r="L434" s="88">
        <v>53.1233</v>
      </c>
      <c r="M434" s="88">
        <v>14.564</v>
      </c>
      <c r="N434" s="88">
        <v>0</v>
      </c>
      <c r="O434" s="88">
        <v>0</v>
      </c>
      <c r="P434" s="88">
        <v>5550.9714000000013</v>
      </c>
    </row>
    <row r="435" spans="2:16" hidden="1">
      <c r="B435" s="79"/>
      <c r="C435" s="79"/>
      <c r="D435" s="81" t="s">
        <v>119</v>
      </c>
      <c r="E435" s="87">
        <v>2007</v>
      </c>
      <c r="F435" s="88">
        <v>48.400000000000006</v>
      </c>
      <c r="G435" s="88">
        <v>744.74239999999975</v>
      </c>
      <c r="H435" s="88">
        <v>982.87590000000012</v>
      </c>
      <c r="I435" s="88">
        <v>1291.5409000000006</v>
      </c>
      <c r="J435" s="88">
        <v>1254.6804000000002</v>
      </c>
      <c r="K435" s="88">
        <v>1116.0168000000001</v>
      </c>
      <c r="L435" s="88">
        <v>48.276799999999994</v>
      </c>
      <c r="M435" s="88">
        <v>20.2498</v>
      </c>
      <c r="N435" s="88">
        <v>0</v>
      </c>
      <c r="O435" s="88">
        <v>0</v>
      </c>
      <c r="P435" s="88">
        <v>5506.7830000000022</v>
      </c>
    </row>
    <row r="436" spans="2:16" hidden="1">
      <c r="B436" s="79"/>
      <c r="C436" s="79"/>
      <c r="D436" s="81" t="s">
        <v>119</v>
      </c>
      <c r="E436" s="87">
        <v>2008</v>
      </c>
      <c r="F436" s="88">
        <v>48.900000000000006</v>
      </c>
      <c r="G436" s="88">
        <v>765.47619999999995</v>
      </c>
      <c r="H436" s="88">
        <v>1110.1803000000002</v>
      </c>
      <c r="I436" s="88">
        <v>1263.1597000000004</v>
      </c>
      <c r="J436" s="88">
        <v>1214.0882999999999</v>
      </c>
      <c r="K436" s="88">
        <v>1118.4614000000001</v>
      </c>
      <c r="L436" s="88">
        <v>55.703200000000002</v>
      </c>
      <c r="M436" s="88">
        <v>4.2081</v>
      </c>
      <c r="N436" s="88">
        <v>0</v>
      </c>
      <c r="O436" s="88">
        <v>0</v>
      </c>
      <c r="P436" s="88">
        <v>5580.1772000000037</v>
      </c>
    </row>
    <row r="437" spans="2:16" hidden="1">
      <c r="B437" s="79"/>
      <c r="C437" s="79"/>
      <c r="D437" s="81" t="s">
        <v>119</v>
      </c>
      <c r="E437" s="87">
        <v>2009</v>
      </c>
      <c r="F437" s="88">
        <v>48.780000000000008</v>
      </c>
      <c r="G437" s="88">
        <v>901.90959999999995</v>
      </c>
      <c r="H437" s="88">
        <v>1294.8748000000001</v>
      </c>
      <c r="I437" s="88">
        <v>1446.0934999999999</v>
      </c>
      <c r="J437" s="88">
        <v>1310.6224</v>
      </c>
      <c r="K437" s="88">
        <v>1295.3684999999998</v>
      </c>
      <c r="L437" s="88">
        <v>54.86610000000001</v>
      </c>
      <c r="M437" s="88">
        <v>2.6665999999999999</v>
      </c>
      <c r="N437" s="88">
        <v>0</v>
      </c>
      <c r="O437" s="88">
        <v>0</v>
      </c>
      <c r="P437" s="88">
        <v>6355.1815000000015</v>
      </c>
    </row>
    <row r="438" spans="2:16" hidden="1">
      <c r="B438" s="79"/>
      <c r="C438" s="79"/>
      <c r="D438" s="81" t="s">
        <v>119</v>
      </c>
      <c r="E438" s="87">
        <v>2010</v>
      </c>
      <c r="F438" s="88">
        <v>75.547899999999998</v>
      </c>
      <c r="G438" s="88">
        <v>990.25020000000018</v>
      </c>
      <c r="H438" s="88">
        <v>1428.2559000000003</v>
      </c>
      <c r="I438" s="88">
        <v>1462.8222000000005</v>
      </c>
      <c r="J438" s="88">
        <v>1299.2395000000001</v>
      </c>
      <c r="K438" s="88">
        <v>1497.1799999999998</v>
      </c>
      <c r="L438" s="88">
        <v>50.058200000000006</v>
      </c>
      <c r="M438" s="88">
        <v>2.2081999999999997</v>
      </c>
      <c r="N438" s="88">
        <v>0</v>
      </c>
      <c r="O438" s="88">
        <v>0</v>
      </c>
      <c r="P438" s="88">
        <v>6805.5620999999974</v>
      </c>
    </row>
    <row r="439" spans="2:16" hidden="1">
      <c r="B439" s="79"/>
      <c r="C439" s="79"/>
      <c r="D439" s="81" t="s">
        <v>119</v>
      </c>
      <c r="E439" s="87">
        <v>2011</v>
      </c>
      <c r="F439" s="88">
        <v>97.649999999999977</v>
      </c>
      <c r="G439" s="88">
        <v>1105.6241999999997</v>
      </c>
      <c r="H439" s="88">
        <v>1542.9578999999999</v>
      </c>
      <c r="I439" s="88">
        <v>1327.3911000000001</v>
      </c>
      <c r="J439" s="88">
        <v>1364.0084999999999</v>
      </c>
      <c r="K439" s="88">
        <v>1747.8537000000001</v>
      </c>
      <c r="L439" s="88">
        <v>48.0884</v>
      </c>
      <c r="M439" s="88">
        <v>1.375</v>
      </c>
      <c r="N439" s="88">
        <v>0</v>
      </c>
      <c r="O439" s="88">
        <v>0</v>
      </c>
      <c r="P439" s="88">
        <v>7234.9487999999992</v>
      </c>
    </row>
    <row r="440" spans="2:16" hidden="1">
      <c r="B440" s="79"/>
      <c r="C440" s="89"/>
      <c r="D440" s="81" t="s">
        <v>119</v>
      </c>
      <c r="E440" s="82">
        <v>2012</v>
      </c>
      <c r="F440" s="83">
        <v>113.56659999999999</v>
      </c>
      <c r="G440" s="83">
        <v>1143.7043999999999</v>
      </c>
      <c r="H440" s="83">
        <v>1613.6401000000003</v>
      </c>
      <c r="I440" s="83">
        <v>1383.2148999999997</v>
      </c>
      <c r="J440" s="83">
        <v>1252.9180000000001</v>
      </c>
      <c r="K440" s="83">
        <v>1978.0591999999997</v>
      </c>
      <c r="L440" s="83">
        <v>37.707099999999997</v>
      </c>
      <c r="M440" s="83">
        <v>0.74990000000000001</v>
      </c>
      <c r="N440" s="83">
        <v>0</v>
      </c>
      <c r="O440" s="83">
        <v>0</v>
      </c>
      <c r="P440" s="83">
        <v>7523.5602000000026</v>
      </c>
    </row>
    <row r="441" spans="2:16" hidden="1">
      <c r="B441" s="79"/>
      <c r="C441" s="76" t="s">
        <v>190</v>
      </c>
      <c r="D441" s="77" t="s">
        <v>179</v>
      </c>
      <c r="E441" s="85">
        <v>2005</v>
      </c>
      <c r="F441" s="86">
        <v>107.3125</v>
      </c>
      <c r="G441" s="86">
        <v>188.36949999999999</v>
      </c>
      <c r="H441" s="86">
        <v>575.12399999999991</v>
      </c>
      <c r="I441" s="86">
        <v>534.07179999999983</v>
      </c>
      <c r="J441" s="86">
        <v>696.45189999999991</v>
      </c>
      <c r="K441" s="86">
        <v>295.31209999999999</v>
      </c>
      <c r="L441" s="86">
        <v>0</v>
      </c>
      <c r="M441" s="86">
        <v>0</v>
      </c>
      <c r="N441" s="86">
        <v>0</v>
      </c>
      <c r="O441" s="86">
        <v>0</v>
      </c>
      <c r="P441" s="86">
        <v>2396.6417999999999</v>
      </c>
    </row>
    <row r="442" spans="2:16" hidden="1">
      <c r="B442" s="79"/>
      <c r="C442" s="79"/>
      <c r="D442" s="81" t="s">
        <v>180</v>
      </c>
      <c r="E442" s="87">
        <v>2006</v>
      </c>
      <c r="F442" s="88">
        <v>148.24469999999999</v>
      </c>
      <c r="G442" s="88">
        <v>219.90560000000002</v>
      </c>
      <c r="H442" s="88">
        <v>799.47910000000002</v>
      </c>
      <c r="I442" s="88">
        <v>518.28379999999993</v>
      </c>
      <c r="J442" s="88">
        <v>741.04649999999992</v>
      </c>
      <c r="K442" s="88">
        <v>252.88380000000001</v>
      </c>
      <c r="L442" s="88">
        <v>8.2501999999999995</v>
      </c>
      <c r="M442" s="88">
        <v>0</v>
      </c>
      <c r="N442" s="88">
        <v>0</v>
      </c>
      <c r="O442" s="88">
        <v>0</v>
      </c>
      <c r="P442" s="88">
        <v>2688.0936999999999</v>
      </c>
    </row>
    <row r="443" spans="2:16" hidden="1">
      <c r="B443" s="79"/>
      <c r="C443" s="79"/>
      <c r="D443" s="81" t="s">
        <v>180</v>
      </c>
      <c r="E443" s="87">
        <v>2007</v>
      </c>
      <c r="F443" s="88">
        <v>113.1875</v>
      </c>
      <c r="G443" s="88">
        <v>196.34960000000007</v>
      </c>
      <c r="H443" s="88">
        <v>870.61399999999992</v>
      </c>
      <c r="I443" s="88">
        <v>631.33489999999995</v>
      </c>
      <c r="J443" s="88">
        <v>748.44069999999999</v>
      </c>
      <c r="K443" s="88">
        <v>255.82020000000003</v>
      </c>
      <c r="L443" s="88">
        <v>9.25</v>
      </c>
      <c r="M443" s="88">
        <v>0</v>
      </c>
      <c r="N443" s="88">
        <v>0</v>
      </c>
      <c r="O443" s="88">
        <v>0</v>
      </c>
      <c r="P443" s="88">
        <v>2824.9968999999996</v>
      </c>
    </row>
    <row r="444" spans="2:16" hidden="1">
      <c r="B444" s="79"/>
      <c r="C444" s="79"/>
      <c r="D444" s="81" t="s">
        <v>180</v>
      </c>
      <c r="E444" s="87">
        <v>2008</v>
      </c>
      <c r="F444" s="88">
        <v>108.56920000000001</v>
      </c>
      <c r="G444" s="88">
        <v>267.80329999999981</v>
      </c>
      <c r="H444" s="88">
        <v>670.71749999999997</v>
      </c>
      <c r="I444" s="88">
        <v>541.06339999999989</v>
      </c>
      <c r="J444" s="88">
        <v>817.40089999999987</v>
      </c>
      <c r="K444" s="88">
        <v>299.1465</v>
      </c>
      <c r="L444" s="88">
        <v>7.125</v>
      </c>
      <c r="M444" s="88">
        <v>0</v>
      </c>
      <c r="N444" s="88">
        <v>0</v>
      </c>
      <c r="O444" s="88">
        <v>0</v>
      </c>
      <c r="P444" s="88">
        <v>2711.8258000000001</v>
      </c>
    </row>
    <row r="445" spans="2:16" hidden="1">
      <c r="B445" s="79"/>
      <c r="C445" s="79"/>
      <c r="D445" s="81" t="s">
        <v>180</v>
      </c>
      <c r="E445" s="87">
        <v>2009</v>
      </c>
      <c r="F445" s="88">
        <v>105.1875</v>
      </c>
      <c r="G445" s="88">
        <v>239.09649999999996</v>
      </c>
      <c r="H445" s="88">
        <v>642.44299999999987</v>
      </c>
      <c r="I445" s="88">
        <v>650.85220000000015</v>
      </c>
      <c r="J445" s="88">
        <v>856.19049999999993</v>
      </c>
      <c r="K445" s="88">
        <v>345.81190000000004</v>
      </c>
      <c r="L445" s="88">
        <v>4</v>
      </c>
      <c r="M445" s="88">
        <v>0</v>
      </c>
      <c r="N445" s="88">
        <v>0</v>
      </c>
      <c r="O445" s="88">
        <v>0</v>
      </c>
      <c r="P445" s="88">
        <v>2843.5815999999995</v>
      </c>
    </row>
    <row r="446" spans="2:16" hidden="1">
      <c r="B446" s="79"/>
      <c r="C446" s="79"/>
      <c r="D446" s="81" t="s">
        <v>180</v>
      </c>
      <c r="E446" s="87">
        <v>2010</v>
      </c>
      <c r="F446" s="88">
        <v>68.375</v>
      </c>
      <c r="G446" s="88">
        <v>283.11590000000001</v>
      </c>
      <c r="H446" s="88">
        <v>567.70769999999993</v>
      </c>
      <c r="I446" s="88">
        <v>647.47709999999995</v>
      </c>
      <c r="J446" s="88">
        <v>879.31740000000013</v>
      </c>
      <c r="K446" s="88">
        <v>389.77849999999995</v>
      </c>
      <c r="L446" s="88">
        <v>8.875</v>
      </c>
      <c r="M446" s="88">
        <v>0</v>
      </c>
      <c r="N446" s="88">
        <v>0</v>
      </c>
      <c r="O446" s="88">
        <v>0</v>
      </c>
      <c r="P446" s="88">
        <v>2844.6466000000009</v>
      </c>
    </row>
    <row r="447" spans="2:16" hidden="1">
      <c r="B447" s="79"/>
      <c r="C447" s="79"/>
      <c r="D447" s="81" t="s">
        <v>180</v>
      </c>
      <c r="E447" s="87">
        <v>2011</v>
      </c>
      <c r="F447" s="88">
        <v>45.207200000000007</v>
      </c>
      <c r="G447" s="88">
        <v>280.83810000000005</v>
      </c>
      <c r="H447" s="88">
        <v>411.96859999999992</v>
      </c>
      <c r="I447" s="88">
        <v>579.19489999999996</v>
      </c>
      <c r="J447" s="88">
        <v>867.08569999999997</v>
      </c>
      <c r="K447" s="88">
        <v>389.95909999999986</v>
      </c>
      <c r="L447" s="88">
        <v>8.625</v>
      </c>
      <c r="M447" s="88">
        <v>0</v>
      </c>
      <c r="N447" s="88">
        <v>0</v>
      </c>
      <c r="O447" s="88">
        <v>0</v>
      </c>
      <c r="P447" s="88">
        <v>2582.8786</v>
      </c>
    </row>
    <row r="448" spans="2:16" hidden="1">
      <c r="B448" s="79"/>
      <c r="C448" s="79"/>
      <c r="D448" s="81" t="s">
        <v>180</v>
      </c>
      <c r="E448" s="82">
        <v>2012</v>
      </c>
      <c r="F448" s="83">
        <v>33.110600000000005</v>
      </c>
      <c r="G448" s="83">
        <v>291.98700000000002</v>
      </c>
      <c r="H448" s="83">
        <v>435.59819999999996</v>
      </c>
      <c r="I448" s="83">
        <v>600.39740000000006</v>
      </c>
      <c r="J448" s="83">
        <v>776.98689999999988</v>
      </c>
      <c r="K448" s="83">
        <v>392.07689999999997</v>
      </c>
      <c r="L448" s="83">
        <v>11.083400000000001</v>
      </c>
      <c r="M448" s="83">
        <v>0</v>
      </c>
      <c r="N448" s="83">
        <v>0</v>
      </c>
      <c r="O448" s="83">
        <v>0</v>
      </c>
      <c r="P448" s="83">
        <v>2541.2404000000001</v>
      </c>
    </row>
    <row r="449" spans="2:16" hidden="1">
      <c r="B449" s="79"/>
      <c r="C449" s="79"/>
      <c r="D449" s="77" t="s">
        <v>180</v>
      </c>
      <c r="E449" s="87">
        <v>2005</v>
      </c>
      <c r="F449" s="88">
        <v>0</v>
      </c>
      <c r="G449" s="88">
        <v>1.1875</v>
      </c>
      <c r="H449" s="88">
        <v>3.6875</v>
      </c>
      <c r="I449" s="88">
        <v>3.1642000000000001</v>
      </c>
      <c r="J449" s="88">
        <v>61.158899999999996</v>
      </c>
      <c r="K449" s="88">
        <v>41.687399999999997</v>
      </c>
      <c r="L449" s="88">
        <v>0</v>
      </c>
      <c r="M449" s="88">
        <v>0</v>
      </c>
      <c r="N449" s="88">
        <v>0</v>
      </c>
      <c r="O449" s="88">
        <v>0</v>
      </c>
      <c r="P449" s="88">
        <v>110.88549999999999</v>
      </c>
    </row>
    <row r="450" spans="2:16" hidden="1">
      <c r="B450" s="79"/>
      <c r="C450" s="79"/>
      <c r="D450" s="81" t="s">
        <v>179</v>
      </c>
      <c r="E450" s="87">
        <v>2006</v>
      </c>
      <c r="F450" s="88">
        <v>0.875</v>
      </c>
      <c r="G450" s="88">
        <v>0</v>
      </c>
      <c r="H450" s="88">
        <v>9.375</v>
      </c>
      <c r="I450" s="88">
        <v>8.057599999999999</v>
      </c>
      <c r="J450" s="88">
        <v>44.134999999999998</v>
      </c>
      <c r="K450" s="88">
        <v>29.050699999999999</v>
      </c>
      <c r="L450" s="88">
        <v>2.125</v>
      </c>
      <c r="M450" s="88">
        <v>0</v>
      </c>
      <c r="N450" s="88">
        <v>0</v>
      </c>
      <c r="O450" s="88">
        <v>0</v>
      </c>
      <c r="P450" s="88">
        <v>93.618299999999991</v>
      </c>
    </row>
    <row r="451" spans="2:16" hidden="1">
      <c r="B451" s="79"/>
      <c r="C451" s="79"/>
      <c r="D451" s="81" t="s">
        <v>179</v>
      </c>
      <c r="E451" s="87">
        <v>2007</v>
      </c>
      <c r="F451" s="88">
        <v>0</v>
      </c>
      <c r="G451" s="88">
        <v>0</v>
      </c>
      <c r="H451" s="88">
        <v>23.6875</v>
      </c>
      <c r="I451" s="88">
        <v>15.4633</v>
      </c>
      <c r="J451" s="88">
        <v>63.152999999999992</v>
      </c>
      <c r="K451" s="88">
        <v>39.451799999999992</v>
      </c>
      <c r="L451" s="88">
        <v>2.0615000000000001</v>
      </c>
      <c r="M451" s="88">
        <v>0</v>
      </c>
      <c r="N451" s="88">
        <v>0</v>
      </c>
      <c r="O451" s="88">
        <v>0</v>
      </c>
      <c r="P451" s="88">
        <v>143.81709999999998</v>
      </c>
    </row>
    <row r="452" spans="2:16" hidden="1">
      <c r="B452" s="79"/>
      <c r="C452" s="79"/>
      <c r="D452" s="81" t="s">
        <v>179</v>
      </c>
      <c r="E452" s="87">
        <v>2008</v>
      </c>
      <c r="F452" s="88">
        <v>0</v>
      </c>
      <c r="G452" s="88">
        <v>0.625</v>
      </c>
      <c r="H452" s="88">
        <v>60.609699999999989</v>
      </c>
      <c r="I452" s="88">
        <v>12.6875</v>
      </c>
      <c r="J452" s="88">
        <v>63.623300000000008</v>
      </c>
      <c r="K452" s="88">
        <v>46.217299999999994</v>
      </c>
      <c r="L452" s="88">
        <v>10.125</v>
      </c>
      <c r="M452" s="88">
        <v>0</v>
      </c>
      <c r="N452" s="88">
        <v>0</v>
      </c>
      <c r="O452" s="88">
        <v>0</v>
      </c>
      <c r="P452" s="88">
        <v>193.88779999999997</v>
      </c>
    </row>
    <row r="453" spans="2:16" hidden="1">
      <c r="B453" s="79"/>
      <c r="C453" s="79"/>
      <c r="D453" s="81" t="s">
        <v>179</v>
      </c>
      <c r="E453" s="87">
        <v>2009</v>
      </c>
      <c r="F453" s="88">
        <v>0.5</v>
      </c>
      <c r="G453" s="88">
        <v>0</v>
      </c>
      <c r="H453" s="88">
        <v>63.775800000000004</v>
      </c>
      <c r="I453" s="88">
        <v>41.666699999999999</v>
      </c>
      <c r="J453" s="88">
        <v>330.6361</v>
      </c>
      <c r="K453" s="88">
        <v>44.686700000000002</v>
      </c>
      <c r="L453" s="88">
        <v>9.125</v>
      </c>
      <c r="M453" s="88">
        <v>0</v>
      </c>
      <c r="N453" s="88">
        <v>0</v>
      </c>
      <c r="O453" s="88">
        <v>0</v>
      </c>
      <c r="P453" s="88">
        <v>490.39030000000002</v>
      </c>
    </row>
    <row r="454" spans="2:16" hidden="1">
      <c r="B454" s="79"/>
      <c r="C454" s="79"/>
      <c r="D454" s="81" t="s">
        <v>179</v>
      </c>
      <c r="E454" s="87">
        <v>2010</v>
      </c>
      <c r="F454" s="88">
        <v>0</v>
      </c>
      <c r="G454" s="88">
        <v>1.25</v>
      </c>
      <c r="H454" s="88">
        <v>43.169300000000007</v>
      </c>
      <c r="I454" s="88">
        <v>73.187599999999918</v>
      </c>
      <c r="J454" s="88">
        <v>551.77080000000035</v>
      </c>
      <c r="K454" s="88">
        <v>75.582599999999985</v>
      </c>
      <c r="L454" s="88">
        <v>8.875</v>
      </c>
      <c r="M454" s="88">
        <v>0</v>
      </c>
      <c r="N454" s="88">
        <v>0</v>
      </c>
      <c r="O454" s="88">
        <v>0</v>
      </c>
      <c r="P454" s="88">
        <v>753.83530000000019</v>
      </c>
    </row>
    <row r="455" spans="2:16" hidden="1">
      <c r="B455" s="79"/>
      <c r="C455" s="79"/>
      <c r="D455" s="81" t="s">
        <v>179</v>
      </c>
      <c r="E455" s="87">
        <v>2011</v>
      </c>
      <c r="F455" s="88">
        <v>0</v>
      </c>
      <c r="G455" s="88">
        <v>0</v>
      </c>
      <c r="H455" s="88">
        <v>29.116800000000005</v>
      </c>
      <c r="I455" s="88">
        <v>128.07850000000005</v>
      </c>
      <c r="J455" s="88">
        <v>423.33499999999987</v>
      </c>
      <c r="K455" s="88">
        <v>68.626400000000004</v>
      </c>
      <c r="L455" s="88">
        <v>8.083400000000001</v>
      </c>
      <c r="M455" s="88">
        <v>0</v>
      </c>
      <c r="N455" s="88">
        <v>0</v>
      </c>
      <c r="O455" s="88">
        <v>0</v>
      </c>
      <c r="P455" s="88">
        <v>657.2401000000001</v>
      </c>
    </row>
    <row r="456" spans="2:16" hidden="1">
      <c r="B456" s="79"/>
      <c r="C456" s="79"/>
      <c r="D456" s="81" t="s">
        <v>179</v>
      </c>
      <c r="E456" s="82">
        <v>2012</v>
      </c>
      <c r="F456" s="83">
        <v>0</v>
      </c>
      <c r="G456" s="83">
        <v>0</v>
      </c>
      <c r="H456" s="83">
        <v>30.606300000000001</v>
      </c>
      <c r="I456" s="83">
        <v>70.662500000000037</v>
      </c>
      <c r="J456" s="83">
        <v>385.18020000000001</v>
      </c>
      <c r="K456" s="83">
        <v>50.416200000000003</v>
      </c>
      <c r="L456" s="83">
        <v>13.0106</v>
      </c>
      <c r="M456" s="83">
        <v>0</v>
      </c>
      <c r="N456" s="83">
        <v>0</v>
      </c>
      <c r="O456" s="83">
        <v>0</v>
      </c>
      <c r="P456" s="83">
        <v>549.87579999999991</v>
      </c>
    </row>
    <row r="457" spans="2:16" hidden="1">
      <c r="B457" s="79"/>
      <c r="C457" s="79"/>
      <c r="D457" s="77" t="s">
        <v>119</v>
      </c>
      <c r="E457" s="87">
        <v>2005</v>
      </c>
      <c r="F457" s="88">
        <v>107.3125</v>
      </c>
      <c r="G457" s="88">
        <v>189.55699999999999</v>
      </c>
      <c r="H457" s="88">
        <v>578.81149999999991</v>
      </c>
      <c r="I457" s="88">
        <v>537.23599999999988</v>
      </c>
      <c r="J457" s="88">
        <v>757.61079999999993</v>
      </c>
      <c r="K457" s="88">
        <v>336.99950000000001</v>
      </c>
      <c r="L457" s="88">
        <v>0</v>
      </c>
      <c r="M457" s="88">
        <v>0</v>
      </c>
      <c r="N457" s="88">
        <v>0</v>
      </c>
      <c r="O457" s="88">
        <v>0</v>
      </c>
      <c r="P457" s="88">
        <v>2507.5272999999997</v>
      </c>
    </row>
    <row r="458" spans="2:16" hidden="1">
      <c r="B458" s="79"/>
      <c r="C458" s="79"/>
      <c r="D458" s="81" t="s">
        <v>119</v>
      </c>
      <c r="E458" s="87">
        <v>2006</v>
      </c>
      <c r="F458" s="88">
        <v>149.11969999999999</v>
      </c>
      <c r="G458" s="88">
        <v>219.90560000000002</v>
      </c>
      <c r="H458" s="88">
        <v>808.85410000000002</v>
      </c>
      <c r="I458" s="88">
        <v>526.34139999999991</v>
      </c>
      <c r="J458" s="88">
        <v>785.18149999999991</v>
      </c>
      <c r="K458" s="88">
        <v>281.93450000000001</v>
      </c>
      <c r="L458" s="88">
        <v>10.3752</v>
      </c>
      <c r="M458" s="88">
        <v>0</v>
      </c>
      <c r="N458" s="88">
        <v>0</v>
      </c>
      <c r="O458" s="88">
        <v>0</v>
      </c>
      <c r="P458" s="88">
        <v>2781.712</v>
      </c>
    </row>
    <row r="459" spans="2:16" hidden="1">
      <c r="B459" s="79"/>
      <c r="C459" s="79"/>
      <c r="D459" s="81" t="s">
        <v>119</v>
      </c>
      <c r="E459" s="87">
        <v>2007</v>
      </c>
      <c r="F459" s="88">
        <v>113.1875</v>
      </c>
      <c r="G459" s="88">
        <v>196.34960000000007</v>
      </c>
      <c r="H459" s="88">
        <v>894.30149999999992</v>
      </c>
      <c r="I459" s="88">
        <v>646.79819999999995</v>
      </c>
      <c r="J459" s="88">
        <v>811.59370000000001</v>
      </c>
      <c r="K459" s="88">
        <v>295.27200000000005</v>
      </c>
      <c r="L459" s="88">
        <v>11.311500000000001</v>
      </c>
      <c r="M459" s="88">
        <v>0</v>
      </c>
      <c r="N459" s="88">
        <v>0</v>
      </c>
      <c r="O459" s="88">
        <v>0</v>
      </c>
      <c r="P459" s="88">
        <v>2968.8139999999994</v>
      </c>
    </row>
    <row r="460" spans="2:16" hidden="1">
      <c r="B460" s="79"/>
      <c r="C460" s="79"/>
      <c r="D460" s="81" t="s">
        <v>119</v>
      </c>
      <c r="E460" s="87">
        <v>2008</v>
      </c>
      <c r="F460" s="88">
        <v>108.56920000000001</v>
      </c>
      <c r="G460" s="88">
        <v>268.42829999999981</v>
      </c>
      <c r="H460" s="88">
        <v>731.32719999999995</v>
      </c>
      <c r="I460" s="88">
        <v>553.75089999999989</v>
      </c>
      <c r="J460" s="88">
        <v>881.02419999999984</v>
      </c>
      <c r="K460" s="88">
        <v>345.36379999999997</v>
      </c>
      <c r="L460" s="88">
        <v>17.25</v>
      </c>
      <c r="M460" s="88">
        <v>0</v>
      </c>
      <c r="N460" s="88">
        <v>0</v>
      </c>
      <c r="O460" s="88">
        <v>0</v>
      </c>
      <c r="P460" s="88">
        <v>2905.7136</v>
      </c>
    </row>
    <row r="461" spans="2:16" hidden="1">
      <c r="B461" s="79"/>
      <c r="C461" s="79"/>
      <c r="D461" s="81" t="s">
        <v>119</v>
      </c>
      <c r="E461" s="87">
        <v>2009</v>
      </c>
      <c r="F461" s="88">
        <v>105.6875</v>
      </c>
      <c r="G461" s="88">
        <v>239.09649999999996</v>
      </c>
      <c r="H461" s="88">
        <v>706.21879999999987</v>
      </c>
      <c r="I461" s="88">
        <v>692.51890000000014</v>
      </c>
      <c r="J461" s="88">
        <v>1186.8265999999999</v>
      </c>
      <c r="K461" s="88">
        <v>390.49860000000001</v>
      </c>
      <c r="L461" s="88">
        <v>13.125</v>
      </c>
      <c r="M461" s="88">
        <v>0</v>
      </c>
      <c r="N461" s="88">
        <v>0</v>
      </c>
      <c r="O461" s="88">
        <v>0</v>
      </c>
      <c r="P461" s="88">
        <v>3333.9718999999996</v>
      </c>
    </row>
    <row r="462" spans="2:16" hidden="1">
      <c r="B462" s="79"/>
      <c r="C462" s="79"/>
      <c r="D462" s="81" t="s">
        <v>119</v>
      </c>
      <c r="E462" s="87">
        <v>2010</v>
      </c>
      <c r="F462" s="88">
        <v>68.375</v>
      </c>
      <c r="G462" s="88">
        <v>284.36590000000001</v>
      </c>
      <c r="H462" s="88">
        <v>610.87699999999995</v>
      </c>
      <c r="I462" s="88">
        <v>720.66469999999981</v>
      </c>
      <c r="J462" s="88">
        <v>1431.0882000000006</v>
      </c>
      <c r="K462" s="88">
        <v>465.36109999999996</v>
      </c>
      <c r="L462" s="88">
        <v>17.75</v>
      </c>
      <c r="M462" s="88">
        <v>0</v>
      </c>
      <c r="N462" s="88">
        <v>0</v>
      </c>
      <c r="O462" s="88">
        <v>0</v>
      </c>
      <c r="P462" s="88">
        <v>3598.4819000000011</v>
      </c>
    </row>
    <row r="463" spans="2:16" hidden="1">
      <c r="B463" s="79"/>
      <c r="C463" s="79"/>
      <c r="D463" s="81" t="s">
        <v>119</v>
      </c>
      <c r="E463" s="87">
        <v>2011</v>
      </c>
      <c r="F463" s="88">
        <v>45.207200000000007</v>
      </c>
      <c r="G463" s="88">
        <v>280.83810000000005</v>
      </c>
      <c r="H463" s="88">
        <v>441.08539999999994</v>
      </c>
      <c r="I463" s="88">
        <v>707.27340000000004</v>
      </c>
      <c r="J463" s="88">
        <v>1290.4206999999999</v>
      </c>
      <c r="K463" s="88">
        <v>458.58549999999985</v>
      </c>
      <c r="L463" s="88">
        <v>16.708400000000001</v>
      </c>
      <c r="M463" s="88">
        <v>0</v>
      </c>
      <c r="N463" s="88">
        <v>0</v>
      </c>
      <c r="O463" s="88">
        <v>0</v>
      </c>
      <c r="P463" s="88">
        <v>3240.1187</v>
      </c>
    </row>
    <row r="464" spans="2:16" hidden="1">
      <c r="B464" s="79"/>
      <c r="C464" s="89"/>
      <c r="D464" s="81" t="s">
        <v>119</v>
      </c>
      <c r="E464" s="82">
        <v>2012</v>
      </c>
      <c r="F464" s="83">
        <v>33.110600000000005</v>
      </c>
      <c r="G464" s="83">
        <v>291.98700000000002</v>
      </c>
      <c r="H464" s="83">
        <v>466.20449999999994</v>
      </c>
      <c r="I464" s="83">
        <v>671.05990000000008</v>
      </c>
      <c r="J464" s="83">
        <v>1162.1670999999999</v>
      </c>
      <c r="K464" s="83">
        <v>442.49309999999997</v>
      </c>
      <c r="L464" s="83">
        <v>24.094000000000001</v>
      </c>
      <c r="M464" s="83">
        <v>0</v>
      </c>
      <c r="N464" s="83">
        <v>0</v>
      </c>
      <c r="O464" s="83">
        <v>0</v>
      </c>
      <c r="P464" s="83">
        <v>3091.1161999999999</v>
      </c>
    </row>
    <row r="465" spans="2:16" hidden="1">
      <c r="B465" s="79"/>
      <c r="C465" s="76" t="s">
        <v>191</v>
      </c>
      <c r="D465" s="77" t="s">
        <v>179</v>
      </c>
      <c r="E465" s="85">
        <v>2005</v>
      </c>
      <c r="F465" s="86">
        <v>0.35</v>
      </c>
      <c r="G465" s="86">
        <v>1022.4579000000017</v>
      </c>
      <c r="H465" s="86">
        <v>1340.0723000000037</v>
      </c>
      <c r="I465" s="86">
        <v>531.09920000000011</v>
      </c>
      <c r="J465" s="86">
        <v>423.93550000000005</v>
      </c>
      <c r="K465" s="86">
        <v>259.52100000000002</v>
      </c>
      <c r="L465" s="86">
        <v>5.998800000000001</v>
      </c>
      <c r="M465" s="86">
        <v>0</v>
      </c>
      <c r="N465" s="86">
        <v>0</v>
      </c>
      <c r="O465" s="86">
        <v>0</v>
      </c>
      <c r="P465" s="86">
        <v>3583.4346999999957</v>
      </c>
    </row>
    <row r="466" spans="2:16" hidden="1">
      <c r="B466" s="79"/>
      <c r="C466" s="79"/>
      <c r="D466" s="81" t="s">
        <v>180</v>
      </c>
      <c r="E466" s="87">
        <v>2006</v>
      </c>
      <c r="F466" s="88">
        <v>0</v>
      </c>
      <c r="G466" s="88">
        <v>891.5060999999987</v>
      </c>
      <c r="H466" s="88">
        <v>878.24490000000026</v>
      </c>
      <c r="I466" s="88">
        <v>749.38390000000015</v>
      </c>
      <c r="J466" s="88">
        <v>352.62329999999997</v>
      </c>
      <c r="K466" s="88">
        <v>313.72050000000002</v>
      </c>
      <c r="L466" s="88">
        <v>2.375</v>
      </c>
      <c r="M466" s="88">
        <v>0</v>
      </c>
      <c r="N466" s="88">
        <v>0</v>
      </c>
      <c r="O466" s="88">
        <v>0</v>
      </c>
      <c r="P466" s="88">
        <v>3187.853699999996</v>
      </c>
    </row>
    <row r="467" spans="2:16" hidden="1">
      <c r="B467" s="79"/>
      <c r="C467" s="79"/>
      <c r="D467" s="81" t="s">
        <v>180</v>
      </c>
      <c r="E467" s="87">
        <v>2007</v>
      </c>
      <c r="F467" s="88">
        <v>0</v>
      </c>
      <c r="G467" s="88">
        <v>893.3204999999997</v>
      </c>
      <c r="H467" s="88">
        <v>860.40900000000011</v>
      </c>
      <c r="I467" s="88">
        <v>351.9045000000001</v>
      </c>
      <c r="J467" s="88">
        <v>344.98880000000003</v>
      </c>
      <c r="K467" s="88">
        <v>322.95349999999996</v>
      </c>
      <c r="L467" s="88">
        <v>0.75</v>
      </c>
      <c r="M467" s="88">
        <v>0</v>
      </c>
      <c r="N467" s="88">
        <v>0</v>
      </c>
      <c r="O467" s="88">
        <v>0</v>
      </c>
      <c r="P467" s="88">
        <v>2774.3262999999993</v>
      </c>
    </row>
    <row r="468" spans="2:16" hidden="1">
      <c r="B468" s="79"/>
      <c r="C468" s="79"/>
      <c r="D468" s="81" t="s">
        <v>180</v>
      </c>
      <c r="E468" s="87">
        <v>2008</v>
      </c>
      <c r="F468" s="88">
        <v>0</v>
      </c>
      <c r="G468" s="88">
        <v>1076.4702999999995</v>
      </c>
      <c r="H468" s="88">
        <v>936.11379999999929</v>
      </c>
      <c r="I468" s="88">
        <v>429.43650000000002</v>
      </c>
      <c r="J468" s="88">
        <v>276.6447</v>
      </c>
      <c r="K468" s="88">
        <v>326.83150000000001</v>
      </c>
      <c r="L468" s="88">
        <v>3.6663999999999999</v>
      </c>
      <c r="M468" s="88">
        <v>0</v>
      </c>
      <c r="N468" s="88">
        <v>0</v>
      </c>
      <c r="O468" s="88">
        <v>0</v>
      </c>
      <c r="P468" s="88">
        <v>3049.1632000000004</v>
      </c>
    </row>
    <row r="469" spans="2:16" hidden="1">
      <c r="B469" s="79"/>
      <c r="C469" s="79"/>
      <c r="D469" s="81" t="s">
        <v>180</v>
      </c>
      <c r="E469" s="87">
        <v>2009</v>
      </c>
      <c r="F469" s="88">
        <v>0</v>
      </c>
      <c r="G469" s="88">
        <v>683.40780000000029</v>
      </c>
      <c r="H469" s="88">
        <v>1176.8206999999995</v>
      </c>
      <c r="I469" s="88">
        <v>483.74160000000006</v>
      </c>
      <c r="J469" s="88">
        <v>342.23630000000009</v>
      </c>
      <c r="K469" s="88">
        <v>372.76369999999991</v>
      </c>
      <c r="L469" s="88">
        <v>13.417</v>
      </c>
      <c r="M469" s="88">
        <v>0</v>
      </c>
      <c r="N469" s="88">
        <v>0</v>
      </c>
      <c r="O469" s="88">
        <v>0</v>
      </c>
      <c r="P469" s="88">
        <v>3072.3871000000013</v>
      </c>
    </row>
    <row r="470" spans="2:16" hidden="1">
      <c r="B470" s="79"/>
      <c r="C470" s="79"/>
      <c r="D470" s="81" t="s">
        <v>180</v>
      </c>
      <c r="E470" s="87">
        <v>2010</v>
      </c>
      <c r="F470" s="88">
        <v>0</v>
      </c>
      <c r="G470" s="88">
        <v>606.64880000000028</v>
      </c>
      <c r="H470" s="88">
        <v>1071.9800999999995</v>
      </c>
      <c r="I470" s="88">
        <v>549.18939999999986</v>
      </c>
      <c r="J470" s="88">
        <v>352.42770000000002</v>
      </c>
      <c r="K470" s="88">
        <v>398.34769999999997</v>
      </c>
      <c r="L470" s="88">
        <v>5.5</v>
      </c>
      <c r="M470" s="88">
        <v>0</v>
      </c>
      <c r="N470" s="88">
        <v>0</v>
      </c>
      <c r="O470" s="88">
        <v>0</v>
      </c>
      <c r="P470" s="88">
        <v>2984.0937000000017</v>
      </c>
    </row>
    <row r="471" spans="2:16" hidden="1">
      <c r="B471" s="79"/>
      <c r="C471" s="79"/>
      <c r="D471" s="81" t="s">
        <v>180</v>
      </c>
      <c r="E471" s="87">
        <v>2011</v>
      </c>
      <c r="F471" s="88">
        <v>0</v>
      </c>
      <c r="G471" s="88">
        <v>743.20889999999986</v>
      </c>
      <c r="H471" s="88">
        <v>866.58339999999998</v>
      </c>
      <c r="I471" s="88">
        <v>564.13530000000003</v>
      </c>
      <c r="J471" s="88">
        <v>376.70859999999999</v>
      </c>
      <c r="K471" s="88">
        <v>431.02190000000007</v>
      </c>
      <c r="L471" s="88">
        <v>3.6244000000000001</v>
      </c>
      <c r="M471" s="88">
        <v>0</v>
      </c>
      <c r="N471" s="88">
        <v>0</v>
      </c>
      <c r="O471" s="88">
        <v>0</v>
      </c>
      <c r="P471" s="88">
        <v>2985.2825000000012</v>
      </c>
    </row>
    <row r="472" spans="2:16" hidden="1">
      <c r="B472" s="79"/>
      <c r="C472" s="79"/>
      <c r="D472" s="81" t="s">
        <v>180</v>
      </c>
      <c r="E472" s="82">
        <v>2012</v>
      </c>
      <c r="F472" s="83">
        <v>0.1</v>
      </c>
      <c r="G472" s="83">
        <v>648.52</v>
      </c>
      <c r="H472" s="83">
        <v>980.39470000000006</v>
      </c>
      <c r="I472" s="83">
        <v>787.80440000000021</v>
      </c>
      <c r="J472" s="83">
        <v>361.37329999999997</v>
      </c>
      <c r="K472" s="83">
        <v>424.45889999999997</v>
      </c>
      <c r="L472" s="83">
        <v>6.3754</v>
      </c>
      <c r="M472" s="83">
        <v>0</v>
      </c>
      <c r="N472" s="83">
        <v>0</v>
      </c>
      <c r="O472" s="83">
        <v>0</v>
      </c>
      <c r="P472" s="83">
        <v>3209.0266999999999</v>
      </c>
    </row>
    <row r="473" spans="2:16" hidden="1">
      <c r="B473" s="79"/>
      <c r="C473" s="79"/>
      <c r="D473" s="77" t="s">
        <v>180</v>
      </c>
      <c r="E473" s="87">
        <v>2005</v>
      </c>
      <c r="F473" s="88">
        <v>0</v>
      </c>
      <c r="G473" s="88">
        <v>0.28759999999999997</v>
      </c>
      <c r="H473" s="88">
        <v>39.702300000000015</v>
      </c>
      <c r="I473" s="88">
        <v>4.7809999999999997</v>
      </c>
      <c r="J473" s="88">
        <v>23.754499999999997</v>
      </c>
      <c r="K473" s="88">
        <v>13.0168</v>
      </c>
      <c r="L473" s="88">
        <v>0</v>
      </c>
      <c r="M473" s="88">
        <v>0</v>
      </c>
      <c r="N473" s="88">
        <v>0</v>
      </c>
      <c r="O473" s="88">
        <v>0</v>
      </c>
      <c r="P473" s="88">
        <v>81.542200000000008</v>
      </c>
    </row>
    <row r="474" spans="2:16" hidden="1">
      <c r="B474" s="79"/>
      <c r="C474" s="79"/>
      <c r="D474" s="81" t="s">
        <v>179</v>
      </c>
      <c r="E474" s="87">
        <v>2006</v>
      </c>
      <c r="F474" s="88">
        <v>0</v>
      </c>
      <c r="G474" s="88">
        <v>0.38599999999999995</v>
      </c>
      <c r="H474" s="88">
        <v>21.918700000000005</v>
      </c>
      <c r="I474" s="88">
        <v>2.7147999999999999</v>
      </c>
      <c r="J474" s="88">
        <v>13.740699999999999</v>
      </c>
      <c r="K474" s="88">
        <v>14.956399999999999</v>
      </c>
      <c r="L474" s="88">
        <v>0</v>
      </c>
      <c r="M474" s="88">
        <v>0</v>
      </c>
      <c r="N474" s="88">
        <v>0</v>
      </c>
      <c r="O474" s="88">
        <v>0</v>
      </c>
      <c r="P474" s="88">
        <v>53.716599999999993</v>
      </c>
    </row>
    <row r="475" spans="2:16" hidden="1">
      <c r="B475" s="79"/>
      <c r="C475" s="79"/>
      <c r="D475" s="81" t="s">
        <v>179</v>
      </c>
      <c r="E475" s="87">
        <v>2007</v>
      </c>
      <c r="F475" s="88">
        <v>0</v>
      </c>
      <c r="G475" s="88">
        <v>3.2157999999999998</v>
      </c>
      <c r="H475" s="88">
        <v>39.673700000000018</v>
      </c>
      <c r="I475" s="88">
        <v>35.98040000000001</v>
      </c>
      <c r="J475" s="88">
        <v>14.120799999999997</v>
      </c>
      <c r="K475" s="88">
        <v>14.581200000000001</v>
      </c>
      <c r="L475" s="88">
        <v>0.375</v>
      </c>
      <c r="M475" s="88">
        <v>0</v>
      </c>
      <c r="N475" s="88">
        <v>0</v>
      </c>
      <c r="O475" s="88">
        <v>0</v>
      </c>
      <c r="P475" s="88">
        <v>107.94690000000001</v>
      </c>
    </row>
    <row r="476" spans="2:16" hidden="1">
      <c r="B476" s="79"/>
      <c r="C476" s="79"/>
      <c r="D476" s="81" t="s">
        <v>179</v>
      </c>
      <c r="E476" s="87">
        <v>2008</v>
      </c>
      <c r="F476" s="88">
        <v>0</v>
      </c>
      <c r="G476" s="88">
        <v>1.9662999999999999</v>
      </c>
      <c r="H476" s="88">
        <v>30.978300000000004</v>
      </c>
      <c r="I476" s="88">
        <v>25.4101</v>
      </c>
      <c r="J476" s="88">
        <v>18.5671</v>
      </c>
      <c r="K476" s="88">
        <v>15.003800000000002</v>
      </c>
      <c r="L476" s="88">
        <v>9.0410000000000004</v>
      </c>
      <c r="M476" s="88">
        <v>0</v>
      </c>
      <c r="N476" s="88">
        <v>0</v>
      </c>
      <c r="O476" s="88">
        <v>0</v>
      </c>
      <c r="P476" s="88">
        <v>100.96659999999999</v>
      </c>
    </row>
    <row r="477" spans="2:16" hidden="1">
      <c r="B477" s="79"/>
      <c r="C477" s="79"/>
      <c r="D477" s="81" t="s">
        <v>179</v>
      </c>
      <c r="E477" s="87">
        <v>2009</v>
      </c>
      <c r="F477" s="88">
        <v>0</v>
      </c>
      <c r="G477" s="88">
        <v>1.0003000000000004</v>
      </c>
      <c r="H477" s="88">
        <v>35.406600000000005</v>
      </c>
      <c r="I477" s="88">
        <v>26.938000000000006</v>
      </c>
      <c r="J477" s="88">
        <v>25.090100000000003</v>
      </c>
      <c r="K477" s="88">
        <v>19.795800000000003</v>
      </c>
      <c r="L477" s="88">
        <v>19.709000000000003</v>
      </c>
      <c r="M477" s="88">
        <v>0</v>
      </c>
      <c r="N477" s="88">
        <v>0</v>
      </c>
      <c r="O477" s="88">
        <v>0</v>
      </c>
      <c r="P477" s="88">
        <v>127.93980000000002</v>
      </c>
    </row>
    <row r="478" spans="2:16" hidden="1">
      <c r="B478" s="79"/>
      <c r="C478" s="79"/>
      <c r="D478" s="81" t="s">
        <v>179</v>
      </c>
      <c r="E478" s="87">
        <v>2010</v>
      </c>
      <c r="F478" s="88">
        <v>0</v>
      </c>
      <c r="G478" s="88">
        <v>0</v>
      </c>
      <c r="H478" s="88">
        <v>15.359000000000005</v>
      </c>
      <c r="I478" s="88">
        <v>14.1831</v>
      </c>
      <c r="J478" s="88">
        <v>13.606800000000002</v>
      </c>
      <c r="K478" s="88">
        <v>13.1668</v>
      </c>
      <c r="L478" s="88">
        <v>29.7</v>
      </c>
      <c r="M478" s="88">
        <v>0</v>
      </c>
      <c r="N478" s="88">
        <v>0</v>
      </c>
      <c r="O478" s="88">
        <v>0</v>
      </c>
      <c r="P478" s="88">
        <v>86.015699999999995</v>
      </c>
    </row>
    <row r="479" spans="2:16" hidden="1">
      <c r="B479" s="79"/>
      <c r="C479" s="79"/>
      <c r="D479" s="81" t="s">
        <v>179</v>
      </c>
      <c r="E479" s="87">
        <v>2011</v>
      </c>
      <c r="F479" s="88">
        <v>0</v>
      </c>
      <c r="G479" s="88">
        <v>0</v>
      </c>
      <c r="H479" s="88">
        <v>16.002000000000006</v>
      </c>
      <c r="I479" s="88">
        <v>0.48499999999999999</v>
      </c>
      <c r="J479" s="88">
        <v>30.096700000000006</v>
      </c>
      <c r="K479" s="88">
        <v>7.2666000000000004</v>
      </c>
      <c r="L479" s="88">
        <v>10.2486</v>
      </c>
      <c r="M479" s="88">
        <v>0</v>
      </c>
      <c r="N479" s="88">
        <v>0</v>
      </c>
      <c r="O479" s="88">
        <v>0</v>
      </c>
      <c r="P479" s="88">
        <v>64.098900000000015</v>
      </c>
    </row>
    <row r="480" spans="2:16" hidden="1">
      <c r="B480" s="79"/>
      <c r="C480" s="79"/>
      <c r="D480" s="81" t="s">
        <v>179</v>
      </c>
      <c r="E480" s="82">
        <v>2012</v>
      </c>
      <c r="F480" s="83">
        <v>0.05</v>
      </c>
      <c r="G480" s="83">
        <v>6.6700000000000009E-2</v>
      </c>
      <c r="H480" s="83">
        <v>13.228700000000003</v>
      </c>
      <c r="I480" s="83">
        <v>5.0881999999999996</v>
      </c>
      <c r="J480" s="83">
        <v>51.468800000000002</v>
      </c>
      <c r="K480" s="83">
        <v>9.5419</v>
      </c>
      <c r="L480" s="83">
        <v>19.372799999999998</v>
      </c>
      <c r="M480" s="83">
        <v>0</v>
      </c>
      <c r="N480" s="83">
        <v>0</v>
      </c>
      <c r="O480" s="83">
        <v>0</v>
      </c>
      <c r="P480" s="83">
        <v>98.817100000000025</v>
      </c>
    </row>
    <row r="481" spans="2:16" hidden="1">
      <c r="B481" s="79"/>
      <c r="C481" s="79"/>
      <c r="D481" s="77" t="s">
        <v>119</v>
      </c>
      <c r="E481" s="87">
        <v>2005</v>
      </c>
      <c r="F481" s="88">
        <v>0.35</v>
      </c>
      <c r="G481" s="88">
        <v>1022.7455000000017</v>
      </c>
      <c r="H481" s="88">
        <v>1379.7746000000036</v>
      </c>
      <c r="I481" s="88">
        <v>535.88020000000006</v>
      </c>
      <c r="J481" s="88">
        <v>447.69000000000005</v>
      </c>
      <c r="K481" s="88">
        <v>272.5378</v>
      </c>
      <c r="L481" s="88">
        <v>5.998800000000001</v>
      </c>
      <c r="M481" s="88">
        <v>0</v>
      </c>
      <c r="N481" s="88">
        <v>0</v>
      </c>
      <c r="O481" s="88">
        <v>0</v>
      </c>
      <c r="P481" s="88">
        <v>3664.9768999999956</v>
      </c>
    </row>
    <row r="482" spans="2:16" hidden="1">
      <c r="B482" s="79"/>
      <c r="C482" s="79"/>
      <c r="D482" s="81" t="s">
        <v>119</v>
      </c>
      <c r="E482" s="87">
        <v>2006</v>
      </c>
      <c r="F482" s="88">
        <v>0</v>
      </c>
      <c r="G482" s="88">
        <v>891.89209999999866</v>
      </c>
      <c r="H482" s="88">
        <v>900.16360000000032</v>
      </c>
      <c r="I482" s="88">
        <v>752.09870000000012</v>
      </c>
      <c r="J482" s="88">
        <v>366.36399999999998</v>
      </c>
      <c r="K482" s="88">
        <v>328.67689999999999</v>
      </c>
      <c r="L482" s="88">
        <v>2.375</v>
      </c>
      <c r="M482" s="88">
        <v>0</v>
      </c>
      <c r="N482" s="88">
        <v>0</v>
      </c>
      <c r="O482" s="88">
        <v>0</v>
      </c>
      <c r="P482" s="88">
        <v>3241.5702999999962</v>
      </c>
    </row>
    <row r="483" spans="2:16" hidden="1">
      <c r="B483" s="79"/>
      <c r="C483" s="79"/>
      <c r="D483" s="81" t="s">
        <v>119</v>
      </c>
      <c r="E483" s="87">
        <v>2007</v>
      </c>
      <c r="F483" s="88">
        <v>0</v>
      </c>
      <c r="G483" s="88">
        <v>896.53629999999964</v>
      </c>
      <c r="H483" s="88">
        <v>900.08270000000016</v>
      </c>
      <c r="I483" s="88">
        <v>387.88490000000013</v>
      </c>
      <c r="J483" s="88">
        <v>359.1096</v>
      </c>
      <c r="K483" s="88">
        <v>337.53469999999999</v>
      </c>
      <c r="L483" s="88">
        <v>1.125</v>
      </c>
      <c r="M483" s="88">
        <v>0</v>
      </c>
      <c r="N483" s="88">
        <v>0</v>
      </c>
      <c r="O483" s="88">
        <v>0</v>
      </c>
      <c r="P483" s="88">
        <v>2882.2731999999992</v>
      </c>
    </row>
    <row r="484" spans="2:16" hidden="1">
      <c r="B484" s="79"/>
      <c r="C484" s="79"/>
      <c r="D484" s="81" t="s">
        <v>119</v>
      </c>
      <c r="E484" s="87">
        <v>2008</v>
      </c>
      <c r="F484" s="88">
        <v>0</v>
      </c>
      <c r="G484" s="88">
        <v>1078.4365999999995</v>
      </c>
      <c r="H484" s="88">
        <v>967.09209999999928</v>
      </c>
      <c r="I484" s="88">
        <v>454.84660000000002</v>
      </c>
      <c r="J484" s="88">
        <v>295.21179999999998</v>
      </c>
      <c r="K484" s="88">
        <v>341.83530000000002</v>
      </c>
      <c r="L484" s="88">
        <v>12.7074</v>
      </c>
      <c r="M484" s="88">
        <v>0</v>
      </c>
      <c r="N484" s="88">
        <v>0</v>
      </c>
      <c r="O484" s="88">
        <v>0</v>
      </c>
      <c r="P484" s="88">
        <v>3150.1298000000006</v>
      </c>
    </row>
    <row r="485" spans="2:16" hidden="1">
      <c r="B485" s="79"/>
      <c r="C485" s="79"/>
      <c r="D485" s="81" t="s">
        <v>119</v>
      </c>
      <c r="E485" s="87">
        <v>2009</v>
      </c>
      <c r="F485" s="88">
        <v>0</v>
      </c>
      <c r="G485" s="88">
        <v>684.40810000000033</v>
      </c>
      <c r="H485" s="88">
        <v>1212.2272999999996</v>
      </c>
      <c r="I485" s="88">
        <v>510.67960000000005</v>
      </c>
      <c r="J485" s="88">
        <v>367.32640000000009</v>
      </c>
      <c r="K485" s="88">
        <v>392.5594999999999</v>
      </c>
      <c r="L485" s="88">
        <v>33.126000000000005</v>
      </c>
      <c r="M485" s="88">
        <v>0</v>
      </c>
      <c r="N485" s="88">
        <v>0</v>
      </c>
      <c r="O485" s="88">
        <v>0</v>
      </c>
      <c r="P485" s="88">
        <v>3200.3269000000014</v>
      </c>
    </row>
    <row r="486" spans="2:16" hidden="1">
      <c r="B486" s="79"/>
      <c r="C486" s="79"/>
      <c r="D486" s="81" t="s">
        <v>119</v>
      </c>
      <c r="E486" s="87">
        <v>2010</v>
      </c>
      <c r="F486" s="88">
        <v>0</v>
      </c>
      <c r="G486" s="88">
        <v>606.64880000000028</v>
      </c>
      <c r="H486" s="88">
        <v>1087.3390999999995</v>
      </c>
      <c r="I486" s="88">
        <v>563.37249999999983</v>
      </c>
      <c r="J486" s="88">
        <v>366.03450000000004</v>
      </c>
      <c r="K486" s="88">
        <v>411.5145</v>
      </c>
      <c r="L486" s="88">
        <v>35.200000000000003</v>
      </c>
      <c r="M486" s="88">
        <v>0</v>
      </c>
      <c r="N486" s="88">
        <v>0</v>
      </c>
      <c r="O486" s="88">
        <v>0</v>
      </c>
      <c r="P486" s="88">
        <v>3070.1094000000016</v>
      </c>
    </row>
    <row r="487" spans="2:16" hidden="1">
      <c r="B487" s="79"/>
      <c r="C487" s="79"/>
      <c r="D487" s="81" t="s">
        <v>119</v>
      </c>
      <c r="E487" s="87">
        <v>2011</v>
      </c>
      <c r="F487" s="88">
        <v>0</v>
      </c>
      <c r="G487" s="88">
        <v>743.20889999999986</v>
      </c>
      <c r="H487" s="88">
        <v>882.58539999999994</v>
      </c>
      <c r="I487" s="88">
        <v>564.62030000000004</v>
      </c>
      <c r="J487" s="88">
        <v>406.80529999999999</v>
      </c>
      <c r="K487" s="88">
        <v>438.28850000000006</v>
      </c>
      <c r="L487" s="88">
        <v>13.872999999999999</v>
      </c>
      <c r="M487" s="88">
        <v>0</v>
      </c>
      <c r="N487" s="88">
        <v>0</v>
      </c>
      <c r="O487" s="88">
        <v>0</v>
      </c>
      <c r="P487" s="88">
        <v>3049.3814000000011</v>
      </c>
    </row>
    <row r="488" spans="2:16" hidden="1">
      <c r="B488" s="79"/>
      <c r="C488" s="89"/>
      <c r="D488" s="81" t="s">
        <v>119</v>
      </c>
      <c r="E488" s="82">
        <v>2012</v>
      </c>
      <c r="F488" s="83">
        <v>0.15000000000000002</v>
      </c>
      <c r="G488" s="83">
        <v>648.58669999999995</v>
      </c>
      <c r="H488" s="83">
        <v>993.62340000000006</v>
      </c>
      <c r="I488" s="83">
        <v>792.89260000000024</v>
      </c>
      <c r="J488" s="83">
        <v>412.84209999999996</v>
      </c>
      <c r="K488" s="83">
        <v>434.00079999999997</v>
      </c>
      <c r="L488" s="83">
        <v>25.748199999999997</v>
      </c>
      <c r="M488" s="83">
        <v>0</v>
      </c>
      <c r="N488" s="83">
        <v>0</v>
      </c>
      <c r="O488" s="83">
        <v>0</v>
      </c>
      <c r="P488" s="83">
        <v>3307.8438000000001</v>
      </c>
    </row>
    <row r="489" spans="2:16" hidden="1">
      <c r="B489" s="79"/>
      <c r="C489" s="76" t="s">
        <v>192</v>
      </c>
      <c r="D489" s="77" t="s">
        <v>179</v>
      </c>
      <c r="E489" s="85">
        <v>2005</v>
      </c>
      <c r="F489" s="86">
        <v>47.690300000000008</v>
      </c>
      <c r="G489" s="86">
        <v>315.56130000000002</v>
      </c>
      <c r="H489" s="86">
        <v>258.84060000000005</v>
      </c>
      <c r="I489" s="86">
        <v>721.05630000000008</v>
      </c>
      <c r="J489" s="86">
        <v>575.45020000000011</v>
      </c>
      <c r="K489" s="86">
        <v>1019.6975999999996</v>
      </c>
      <c r="L489" s="86">
        <v>0</v>
      </c>
      <c r="M489" s="86">
        <v>73.926999999999992</v>
      </c>
      <c r="N489" s="86">
        <v>70.073900000000009</v>
      </c>
      <c r="O489" s="86">
        <v>0</v>
      </c>
      <c r="P489" s="86">
        <v>3082.2971999999982</v>
      </c>
    </row>
    <row r="490" spans="2:16" hidden="1">
      <c r="B490" s="79"/>
      <c r="C490" s="79"/>
      <c r="D490" s="81" t="s">
        <v>180</v>
      </c>
      <c r="E490" s="87">
        <v>2006</v>
      </c>
      <c r="F490" s="88">
        <v>0</v>
      </c>
      <c r="G490" s="88">
        <v>319.29050000000001</v>
      </c>
      <c r="H490" s="88">
        <v>306.1909</v>
      </c>
      <c r="I490" s="88">
        <v>788.29039999999998</v>
      </c>
      <c r="J490" s="88">
        <v>551.88069999999993</v>
      </c>
      <c r="K490" s="88">
        <v>1011.655</v>
      </c>
      <c r="L490" s="88">
        <v>13.141999999999999</v>
      </c>
      <c r="M490" s="88">
        <v>54.390699999999995</v>
      </c>
      <c r="N490" s="88">
        <v>60.674999999999997</v>
      </c>
      <c r="O490" s="88">
        <v>0</v>
      </c>
      <c r="P490" s="88">
        <v>3105.5152000000003</v>
      </c>
    </row>
    <row r="491" spans="2:16" hidden="1">
      <c r="B491" s="79"/>
      <c r="C491" s="79"/>
      <c r="D491" s="81" t="s">
        <v>180</v>
      </c>
      <c r="E491" s="87">
        <v>2007</v>
      </c>
      <c r="F491" s="88">
        <v>0</v>
      </c>
      <c r="G491" s="88">
        <v>390.79400000000015</v>
      </c>
      <c r="H491" s="88">
        <v>250.38430000000005</v>
      </c>
      <c r="I491" s="88">
        <v>854.28049999999973</v>
      </c>
      <c r="J491" s="88">
        <v>652.2826</v>
      </c>
      <c r="K491" s="88">
        <v>987.76269999999988</v>
      </c>
      <c r="L491" s="88">
        <v>25.9909</v>
      </c>
      <c r="M491" s="88">
        <v>36.060299999999998</v>
      </c>
      <c r="N491" s="88">
        <v>52.341100000000012</v>
      </c>
      <c r="O491" s="88">
        <v>0</v>
      </c>
      <c r="P491" s="88">
        <v>3249.8963999999996</v>
      </c>
    </row>
    <row r="492" spans="2:16" hidden="1">
      <c r="B492" s="79"/>
      <c r="C492" s="79"/>
      <c r="D492" s="81" t="s">
        <v>180</v>
      </c>
      <c r="E492" s="87">
        <v>2008</v>
      </c>
      <c r="F492" s="88">
        <v>2.5198999999999998</v>
      </c>
      <c r="G492" s="88">
        <v>333.49670000000003</v>
      </c>
      <c r="H492" s="88">
        <v>230.96840000000003</v>
      </c>
      <c r="I492" s="88">
        <v>768.69799999999987</v>
      </c>
      <c r="J492" s="88">
        <v>664.27809999999988</v>
      </c>
      <c r="K492" s="88">
        <v>1025.9208999999996</v>
      </c>
      <c r="L492" s="88">
        <v>28.380299999999995</v>
      </c>
      <c r="M492" s="88">
        <v>27.934699999999999</v>
      </c>
      <c r="N492" s="88">
        <v>35.865699999999997</v>
      </c>
      <c r="O492" s="88">
        <v>0</v>
      </c>
      <c r="P492" s="88">
        <v>3118.0626999999995</v>
      </c>
    </row>
    <row r="493" spans="2:16" hidden="1">
      <c r="B493" s="79"/>
      <c r="C493" s="79"/>
      <c r="D493" s="81" t="s">
        <v>180</v>
      </c>
      <c r="E493" s="87">
        <v>2009</v>
      </c>
      <c r="F493" s="88">
        <v>24.042200000000001</v>
      </c>
      <c r="G493" s="88">
        <v>316.72109999999992</v>
      </c>
      <c r="H493" s="88">
        <v>259.95329999999996</v>
      </c>
      <c r="I493" s="88">
        <v>717.79210000000012</v>
      </c>
      <c r="J493" s="88">
        <v>660.58120000000031</v>
      </c>
      <c r="K493" s="88">
        <v>1093.8734000000002</v>
      </c>
      <c r="L493" s="88">
        <v>35.902900000000002</v>
      </c>
      <c r="M493" s="88">
        <v>31.499699999999997</v>
      </c>
      <c r="N493" s="88">
        <v>32.099299999999999</v>
      </c>
      <c r="O493" s="88">
        <v>0</v>
      </c>
      <c r="P493" s="88">
        <v>3172.4651999999974</v>
      </c>
    </row>
    <row r="494" spans="2:16" hidden="1">
      <c r="B494" s="79"/>
      <c r="C494" s="79"/>
      <c r="D494" s="81" t="s">
        <v>180</v>
      </c>
      <c r="E494" s="87">
        <v>2010</v>
      </c>
      <c r="F494" s="88">
        <v>22.110100000000003</v>
      </c>
      <c r="G494" s="88">
        <v>273.13499999999999</v>
      </c>
      <c r="H494" s="88">
        <v>268.05400000000003</v>
      </c>
      <c r="I494" s="88">
        <v>719.22219999999993</v>
      </c>
      <c r="J494" s="88">
        <v>730.78749999999968</v>
      </c>
      <c r="K494" s="88">
        <v>1247.3753999999997</v>
      </c>
      <c r="L494" s="88">
        <v>35.786899999999996</v>
      </c>
      <c r="M494" s="88">
        <v>43.677600000000005</v>
      </c>
      <c r="N494" s="88">
        <v>25.254499999999997</v>
      </c>
      <c r="O494" s="88">
        <v>0</v>
      </c>
      <c r="P494" s="88">
        <v>3365.4031999999993</v>
      </c>
    </row>
    <row r="495" spans="2:16" hidden="1">
      <c r="B495" s="79"/>
      <c r="C495" s="79"/>
      <c r="D495" s="81" t="s">
        <v>180</v>
      </c>
      <c r="E495" s="87">
        <v>2011</v>
      </c>
      <c r="F495" s="88">
        <v>12.0846</v>
      </c>
      <c r="G495" s="88">
        <v>199.41989999999998</v>
      </c>
      <c r="H495" s="88">
        <v>289.28120000000001</v>
      </c>
      <c r="I495" s="88">
        <v>751.57080000000008</v>
      </c>
      <c r="J495" s="88">
        <v>589.05209999999977</v>
      </c>
      <c r="K495" s="88">
        <v>1406.5315999999996</v>
      </c>
      <c r="L495" s="88">
        <v>46.968999999999987</v>
      </c>
      <c r="M495" s="88">
        <v>37.078699999999998</v>
      </c>
      <c r="N495" s="88">
        <v>26.871299999999998</v>
      </c>
      <c r="O495" s="88">
        <v>0</v>
      </c>
      <c r="P495" s="88">
        <v>3358.8591999999976</v>
      </c>
    </row>
    <row r="496" spans="2:16" hidden="1">
      <c r="B496" s="79"/>
      <c r="C496" s="79"/>
      <c r="D496" s="81" t="s">
        <v>180</v>
      </c>
      <c r="E496" s="82">
        <v>2012</v>
      </c>
      <c r="F496" s="83">
        <v>14.347299999999999</v>
      </c>
      <c r="G496" s="83">
        <v>211.83999999999997</v>
      </c>
      <c r="H496" s="83">
        <v>270.73029999999994</v>
      </c>
      <c r="I496" s="83">
        <v>733.23749999999973</v>
      </c>
      <c r="J496" s="83">
        <v>588.20270000000016</v>
      </c>
      <c r="K496" s="83">
        <v>1631.2834999999998</v>
      </c>
      <c r="L496" s="83">
        <v>60.847300000000004</v>
      </c>
      <c r="M496" s="83">
        <v>37.366800000000005</v>
      </c>
      <c r="N496" s="83">
        <v>34.167200000000001</v>
      </c>
      <c r="O496" s="83">
        <v>0</v>
      </c>
      <c r="P496" s="83">
        <v>3582.0225999999984</v>
      </c>
    </row>
    <row r="497" spans="2:16" hidden="1">
      <c r="B497" s="79"/>
      <c r="C497" s="79"/>
      <c r="D497" s="77" t="s">
        <v>180</v>
      </c>
      <c r="E497" s="87">
        <v>2005</v>
      </c>
      <c r="F497" s="88">
        <v>0.49190000000000006</v>
      </c>
      <c r="G497" s="88">
        <v>2.1942999999999997</v>
      </c>
      <c r="H497" s="88">
        <v>20.264199999999995</v>
      </c>
      <c r="I497" s="88">
        <v>48.051000000000002</v>
      </c>
      <c r="J497" s="88">
        <v>71.223000000000013</v>
      </c>
      <c r="K497" s="88">
        <v>77.239399999999989</v>
      </c>
      <c r="L497" s="88">
        <v>0</v>
      </c>
      <c r="M497" s="88">
        <v>0.125</v>
      </c>
      <c r="N497" s="88">
        <v>0</v>
      </c>
      <c r="O497" s="88">
        <v>0</v>
      </c>
      <c r="P497" s="88">
        <v>219.58880000000002</v>
      </c>
    </row>
    <row r="498" spans="2:16" hidden="1">
      <c r="B498" s="79"/>
      <c r="C498" s="79"/>
      <c r="D498" s="81" t="s">
        <v>179</v>
      </c>
      <c r="E498" s="87">
        <v>2006</v>
      </c>
      <c r="F498" s="88">
        <v>0</v>
      </c>
      <c r="G498" s="88">
        <v>3.3573999999999997</v>
      </c>
      <c r="H498" s="88">
        <v>11.868100000000002</v>
      </c>
      <c r="I498" s="88">
        <v>39.925699999999992</v>
      </c>
      <c r="J498" s="88">
        <v>53.006100000000004</v>
      </c>
      <c r="K498" s="88">
        <v>77.816299999999998</v>
      </c>
      <c r="L498" s="88">
        <v>0.1666</v>
      </c>
      <c r="M498" s="88">
        <v>1.25</v>
      </c>
      <c r="N498" s="88">
        <v>0</v>
      </c>
      <c r="O498" s="88">
        <v>0</v>
      </c>
      <c r="P498" s="88">
        <v>187.39019999999999</v>
      </c>
    </row>
    <row r="499" spans="2:16" hidden="1">
      <c r="B499" s="79"/>
      <c r="C499" s="79"/>
      <c r="D499" s="81" t="s">
        <v>179</v>
      </c>
      <c r="E499" s="87">
        <v>2007</v>
      </c>
      <c r="F499" s="88">
        <v>0</v>
      </c>
      <c r="G499" s="88">
        <v>4.4169999999999998</v>
      </c>
      <c r="H499" s="88">
        <v>3.6170000000000004</v>
      </c>
      <c r="I499" s="88">
        <v>30.356200000000001</v>
      </c>
      <c r="J499" s="88">
        <v>42.011600000000001</v>
      </c>
      <c r="K499" s="88">
        <v>69.844399999999993</v>
      </c>
      <c r="L499" s="88">
        <v>0.6661999999999999</v>
      </c>
      <c r="M499" s="88">
        <v>0.5</v>
      </c>
      <c r="N499" s="88">
        <v>0.8448</v>
      </c>
      <c r="O499" s="88">
        <v>0</v>
      </c>
      <c r="P499" s="88">
        <v>152.25720000000004</v>
      </c>
    </row>
    <row r="500" spans="2:16" hidden="1">
      <c r="B500" s="79"/>
      <c r="C500" s="79"/>
      <c r="D500" s="81" t="s">
        <v>179</v>
      </c>
      <c r="E500" s="87">
        <v>2008</v>
      </c>
      <c r="F500" s="88">
        <v>0</v>
      </c>
      <c r="G500" s="88">
        <v>3.1139000000000006</v>
      </c>
      <c r="H500" s="88">
        <v>7.190500000000001</v>
      </c>
      <c r="I500" s="88">
        <v>29.119200000000006</v>
      </c>
      <c r="J500" s="88">
        <v>21.873699999999999</v>
      </c>
      <c r="K500" s="88">
        <v>60.462899999999991</v>
      </c>
      <c r="L500" s="88">
        <v>2.1670000000000003</v>
      </c>
      <c r="M500" s="88">
        <v>0</v>
      </c>
      <c r="N500" s="88">
        <v>1.0011000000000001</v>
      </c>
      <c r="O500" s="88">
        <v>0</v>
      </c>
      <c r="P500" s="88">
        <v>124.92829999999999</v>
      </c>
    </row>
    <row r="501" spans="2:16" hidden="1">
      <c r="B501" s="79"/>
      <c r="C501" s="79"/>
      <c r="D501" s="81" t="s">
        <v>179</v>
      </c>
      <c r="E501" s="87">
        <v>2009</v>
      </c>
      <c r="F501" s="88">
        <v>0.5</v>
      </c>
      <c r="G501" s="88">
        <v>3.3508000000000004</v>
      </c>
      <c r="H501" s="88">
        <v>3.8772000000000002</v>
      </c>
      <c r="I501" s="88">
        <v>59.9696</v>
      </c>
      <c r="J501" s="88">
        <v>20.202400000000001</v>
      </c>
      <c r="K501" s="88">
        <v>58.150299999999994</v>
      </c>
      <c r="L501" s="88">
        <v>3.7507999999999999</v>
      </c>
      <c r="M501" s="88">
        <v>0</v>
      </c>
      <c r="N501" s="88">
        <v>0.15409999999999999</v>
      </c>
      <c r="O501" s="88">
        <v>0</v>
      </c>
      <c r="P501" s="88">
        <v>149.95519999999999</v>
      </c>
    </row>
    <row r="502" spans="2:16" hidden="1">
      <c r="B502" s="79"/>
      <c r="C502" s="79"/>
      <c r="D502" s="81" t="s">
        <v>179</v>
      </c>
      <c r="E502" s="87">
        <v>2010</v>
      </c>
      <c r="F502" s="88">
        <v>1.5</v>
      </c>
      <c r="G502" s="88">
        <v>0.125</v>
      </c>
      <c r="H502" s="88">
        <v>10.441999999999998</v>
      </c>
      <c r="I502" s="88">
        <v>53.843799999999995</v>
      </c>
      <c r="J502" s="88">
        <v>22.750299999999996</v>
      </c>
      <c r="K502" s="88">
        <v>64.319600000000008</v>
      </c>
      <c r="L502" s="88">
        <v>3.3439999999999999</v>
      </c>
      <c r="M502" s="88">
        <v>0</v>
      </c>
      <c r="N502" s="88">
        <v>0.33279999999999998</v>
      </c>
      <c r="O502" s="88">
        <v>0</v>
      </c>
      <c r="P502" s="88">
        <v>156.6575</v>
      </c>
    </row>
    <row r="503" spans="2:16" hidden="1">
      <c r="B503" s="79"/>
      <c r="C503" s="79"/>
      <c r="D503" s="81" t="s">
        <v>179</v>
      </c>
      <c r="E503" s="87">
        <v>2011</v>
      </c>
      <c r="F503" s="88">
        <v>4</v>
      </c>
      <c r="G503" s="88">
        <v>4.375</v>
      </c>
      <c r="H503" s="88">
        <v>12.533299999999999</v>
      </c>
      <c r="I503" s="88">
        <v>50.247599999999984</v>
      </c>
      <c r="J503" s="88">
        <v>22.108500000000003</v>
      </c>
      <c r="K503" s="88">
        <v>66.541600000000017</v>
      </c>
      <c r="L503" s="88">
        <v>3.5003000000000002</v>
      </c>
      <c r="M503" s="88">
        <v>0</v>
      </c>
      <c r="N503" s="88">
        <v>0.66720000000000002</v>
      </c>
      <c r="O503" s="88">
        <v>0</v>
      </c>
      <c r="P503" s="88">
        <v>163.9735</v>
      </c>
    </row>
    <row r="504" spans="2:16" hidden="1">
      <c r="B504" s="79"/>
      <c r="C504" s="79"/>
      <c r="D504" s="81" t="s">
        <v>179</v>
      </c>
      <c r="E504" s="82">
        <v>2012</v>
      </c>
      <c r="F504" s="83">
        <v>0</v>
      </c>
      <c r="G504" s="83">
        <v>4.9168000000000003</v>
      </c>
      <c r="H504" s="83">
        <v>14.358500000000001</v>
      </c>
      <c r="I504" s="83">
        <v>44.477699999999999</v>
      </c>
      <c r="J504" s="83">
        <v>39.940900000000006</v>
      </c>
      <c r="K504" s="83">
        <v>88.502300000000005</v>
      </c>
      <c r="L504" s="83">
        <v>10.958499999999999</v>
      </c>
      <c r="M504" s="83">
        <v>1</v>
      </c>
      <c r="N504" s="83">
        <v>0.95839999999999992</v>
      </c>
      <c r="O504" s="83">
        <v>0</v>
      </c>
      <c r="P504" s="83">
        <v>205.11309999999997</v>
      </c>
    </row>
    <row r="505" spans="2:16" hidden="1">
      <c r="B505" s="79"/>
      <c r="C505" s="79"/>
      <c r="D505" s="77" t="s">
        <v>119</v>
      </c>
      <c r="E505" s="87">
        <v>2005</v>
      </c>
      <c r="F505" s="88">
        <v>48.182200000000009</v>
      </c>
      <c r="G505" s="88">
        <v>317.75560000000002</v>
      </c>
      <c r="H505" s="88">
        <v>279.10480000000007</v>
      </c>
      <c r="I505" s="88">
        <v>769.10730000000012</v>
      </c>
      <c r="J505" s="88">
        <v>646.67320000000018</v>
      </c>
      <c r="K505" s="88">
        <v>1096.9369999999997</v>
      </c>
      <c r="L505" s="88">
        <v>0</v>
      </c>
      <c r="M505" s="88">
        <v>74.051999999999992</v>
      </c>
      <c r="N505" s="88">
        <v>70.073900000000009</v>
      </c>
      <c r="O505" s="88">
        <v>0</v>
      </c>
      <c r="P505" s="88">
        <v>3301.8859999999981</v>
      </c>
    </row>
    <row r="506" spans="2:16" hidden="1">
      <c r="B506" s="79"/>
      <c r="C506" s="79"/>
      <c r="D506" s="81" t="s">
        <v>119</v>
      </c>
      <c r="E506" s="87">
        <v>2006</v>
      </c>
      <c r="F506" s="88">
        <v>0</v>
      </c>
      <c r="G506" s="88">
        <v>322.64789999999999</v>
      </c>
      <c r="H506" s="88">
        <v>318.05900000000003</v>
      </c>
      <c r="I506" s="88">
        <v>828.21609999999998</v>
      </c>
      <c r="J506" s="88">
        <v>604.88679999999999</v>
      </c>
      <c r="K506" s="88">
        <v>1089.4712999999999</v>
      </c>
      <c r="L506" s="88">
        <v>13.3086</v>
      </c>
      <c r="M506" s="88">
        <v>55.640699999999995</v>
      </c>
      <c r="N506" s="88">
        <v>60.674999999999997</v>
      </c>
      <c r="O506" s="88">
        <v>0</v>
      </c>
      <c r="P506" s="88">
        <v>3292.9054000000001</v>
      </c>
    </row>
    <row r="507" spans="2:16" hidden="1">
      <c r="B507" s="79"/>
      <c r="C507" s="79"/>
      <c r="D507" s="81" t="s">
        <v>119</v>
      </c>
      <c r="E507" s="87">
        <v>2007</v>
      </c>
      <c r="F507" s="88">
        <v>0</v>
      </c>
      <c r="G507" s="88">
        <v>395.21100000000013</v>
      </c>
      <c r="H507" s="88">
        <v>254.00130000000004</v>
      </c>
      <c r="I507" s="88">
        <v>884.63669999999979</v>
      </c>
      <c r="J507" s="88">
        <v>694.29420000000005</v>
      </c>
      <c r="K507" s="88">
        <v>1057.6070999999999</v>
      </c>
      <c r="L507" s="88">
        <v>26.6571</v>
      </c>
      <c r="M507" s="88">
        <v>36.560299999999998</v>
      </c>
      <c r="N507" s="88">
        <v>53.185900000000011</v>
      </c>
      <c r="O507" s="88">
        <v>0</v>
      </c>
      <c r="P507" s="88">
        <v>3402.1535999999996</v>
      </c>
    </row>
    <row r="508" spans="2:16" hidden="1">
      <c r="B508" s="79"/>
      <c r="C508" s="79"/>
      <c r="D508" s="81" t="s">
        <v>119</v>
      </c>
      <c r="E508" s="87">
        <v>2008</v>
      </c>
      <c r="F508" s="88">
        <v>2.5198999999999998</v>
      </c>
      <c r="G508" s="88">
        <v>336.61060000000003</v>
      </c>
      <c r="H508" s="88">
        <v>238.15890000000005</v>
      </c>
      <c r="I508" s="88">
        <v>797.81719999999984</v>
      </c>
      <c r="J508" s="88">
        <v>686.15179999999987</v>
      </c>
      <c r="K508" s="88">
        <v>1086.3837999999996</v>
      </c>
      <c r="L508" s="88">
        <v>30.547299999999996</v>
      </c>
      <c r="M508" s="88">
        <v>27.934699999999999</v>
      </c>
      <c r="N508" s="88">
        <v>36.866799999999998</v>
      </c>
      <c r="O508" s="88">
        <v>0</v>
      </c>
      <c r="P508" s="88">
        <v>3242.9909999999995</v>
      </c>
    </row>
    <row r="509" spans="2:16" hidden="1">
      <c r="B509" s="79"/>
      <c r="C509" s="79"/>
      <c r="D509" s="81" t="s">
        <v>119</v>
      </c>
      <c r="E509" s="87">
        <v>2009</v>
      </c>
      <c r="F509" s="88">
        <v>24.542200000000001</v>
      </c>
      <c r="G509" s="88">
        <v>320.07189999999991</v>
      </c>
      <c r="H509" s="88">
        <v>263.83049999999997</v>
      </c>
      <c r="I509" s="88">
        <v>777.76170000000013</v>
      </c>
      <c r="J509" s="88">
        <v>680.78360000000032</v>
      </c>
      <c r="K509" s="88">
        <v>1152.0237000000002</v>
      </c>
      <c r="L509" s="88">
        <v>39.653700000000001</v>
      </c>
      <c r="M509" s="88">
        <v>31.499699999999997</v>
      </c>
      <c r="N509" s="88">
        <v>32.253399999999999</v>
      </c>
      <c r="O509" s="88">
        <v>0</v>
      </c>
      <c r="P509" s="88">
        <v>3322.4203999999972</v>
      </c>
    </row>
    <row r="510" spans="2:16" hidden="1">
      <c r="B510" s="79"/>
      <c r="C510" s="79"/>
      <c r="D510" s="81" t="s">
        <v>119</v>
      </c>
      <c r="E510" s="87">
        <v>2010</v>
      </c>
      <c r="F510" s="88">
        <v>23.610100000000003</v>
      </c>
      <c r="G510" s="88">
        <v>273.26</v>
      </c>
      <c r="H510" s="88">
        <v>278.49600000000004</v>
      </c>
      <c r="I510" s="88">
        <v>773.06599999999992</v>
      </c>
      <c r="J510" s="88">
        <v>753.53779999999972</v>
      </c>
      <c r="K510" s="88">
        <v>1311.6949999999997</v>
      </c>
      <c r="L510" s="88">
        <v>39.130899999999997</v>
      </c>
      <c r="M510" s="88">
        <v>43.677600000000005</v>
      </c>
      <c r="N510" s="88">
        <v>25.587299999999995</v>
      </c>
      <c r="O510" s="88">
        <v>0</v>
      </c>
      <c r="P510" s="88">
        <v>3522.0606999999991</v>
      </c>
    </row>
    <row r="511" spans="2:16" hidden="1">
      <c r="B511" s="79"/>
      <c r="C511" s="79"/>
      <c r="D511" s="81" t="s">
        <v>119</v>
      </c>
      <c r="E511" s="87">
        <v>2011</v>
      </c>
      <c r="F511" s="88">
        <v>16.084600000000002</v>
      </c>
      <c r="G511" s="88">
        <v>203.79489999999998</v>
      </c>
      <c r="H511" s="88">
        <v>301.81450000000001</v>
      </c>
      <c r="I511" s="88">
        <v>801.81840000000011</v>
      </c>
      <c r="J511" s="88">
        <v>611.16059999999982</v>
      </c>
      <c r="K511" s="88">
        <v>1473.0731999999996</v>
      </c>
      <c r="L511" s="88">
        <v>50.46929999999999</v>
      </c>
      <c r="M511" s="88">
        <v>37.078699999999998</v>
      </c>
      <c r="N511" s="88">
        <v>27.538499999999999</v>
      </c>
      <c r="O511" s="88">
        <v>0</v>
      </c>
      <c r="P511" s="88">
        <v>3522.8326999999977</v>
      </c>
    </row>
    <row r="512" spans="2:16" hidden="1">
      <c r="B512" s="79"/>
      <c r="C512" s="89"/>
      <c r="D512" s="81" t="s">
        <v>119</v>
      </c>
      <c r="E512" s="82">
        <v>2012</v>
      </c>
      <c r="F512" s="83">
        <v>14.347299999999999</v>
      </c>
      <c r="G512" s="83">
        <v>216.75679999999997</v>
      </c>
      <c r="H512" s="83">
        <v>285.08879999999994</v>
      </c>
      <c r="I512" s="83">
        <v>777.71519999999975</v>
      </c>
      <c r="J512" s="83">
        <v>628.14360000000022</v>
      </c>
      <c r="K512" s="83">
        <v>1719.7857999999999</v>
      </c>
      <c r="L512" s="83">
        <v>71.805800000000005</v>
      </c>
      <c r="M512" s="83">
        <v>38.366800000000005</v>
      </c>
      <c r="N512" s="83">
        <v>35.125599999999999</v>
      </c>
      <c r="O512" s="83">
        <v>0</v>
      </c>
      <c r="P512" s="83">
        <v>3787.1356999999985</v>
      </c>
    </row>
    <row r="513" spans="2:16" hidden="1">
      <c r="B513" s="79"/>
      <c r="C513" s="76" t="s">
        <v>193</v>
      </c>
      <c r="D513" s="77" t="s">
        <v>179</v>
      </c>
      <c r="E513" s="85">
        <v>2005</v>
      </c>
      <c r="F513" s="86">
        <v>67.724800000000016</v>
      </c>
      <c r="G513" s="86">
        <v>287.85629999999986</v>
      </c>
      <c r="H513" s="86">
        <v>431.18380000000002</v>
      </c>
      <c r="I513" s="86">
        <v>884.42169999999999</v>
      </c>
      <c r="J513" s="86">
        <v>593.08029999999997</v>
      </c>
      <c r="K513" s="86">
        <v>361.46409999999997</v>
      </c>
      <c r="L513" s="86">
        <v>13.122999999999999</v>
      </c>
      <c r="M513" s="86">
        <v>219.1712</v>
      </c>
      <c r="N513" s="86">
        <v>0</v>
      </c>
      <c r="O513" s="86">
        <v>0</v>
      </c>
      <c r="P513" s="86">
        <v>2858.0251999999996</v>
      </c>
    </row>
    <row r="514" spans="2:16" hidden="1">
      <c r="B514" s="79"/>
      <c r="C514" s="79"/>
      <c r="D514" s="81" t="s">
        <v>180</v>
      </c>
      <c r="E514" s="87">
        <v>2006</v>
      </c>
      <c r="F514" s="88">
        <v>141.8964</v>
      </c>
      <c r="G514" s="88">
        <v>382.29759999999987</v>
      </c>
      <c r="H514" s="88">
        <v>636.12189999999987</v>
      </c>
      <c r="I514" s="88">
        <v>562.44030000000009</v>
      </c>
      <c r="J514" s="88">
        <v>495.96410000000014</v>
      </c>
      <c r="K514" s="88">
        <v>517.08640000000003</v>
      </c>
      <c r="L514" s="88">
        <v>4.9600000000000009</v>
      </c>
      <c r="M514" s="88">
        <v>228.0711</v>
      </c>
      <c r="N514" s="88">
        <v>0</v>
      </c>
      <c r="O514" s="88">
        <v>0</v>
      </c>
      <c r="P514" s="88">
        <v>2968.8378000000025</v>
      </c>
    </row>
    <row r="515" spans="2:16" hidden="1">
      <c r="B515" s="79"/>
      <c r="C515" s="79"/>
      <c r="D515" s="81" t="s">
        <v>180</v>
      </c>
      <c r="E515" s="87">
        <v>2007</v>
      </c>
      <c r="F515" s="88">
        <v>101.38679999999999</v>
      </c>
      <c r="G515" s="88">
        <v>508.68610000000007</v>
      </c>
      <c r="H515" s="88">
        <v>772.9928000000001</v>
      </c>
      <c r="I515" s="88">
        <v>505.40120000000002</v>
      </c>
      <c r="J515" s="88">
        <v>457.65270000000004</v>
      </c>
      <c r="K515" s="88">
        <v>625.21490000000017</v>
      </c>
      <c r="L515" s="88">
        <v>12.069800000000001</v>
      </c>
      <c r="M515" s="88">
        <v>190.74649999999997</v>
      </c>
      <c r="N515" s="88">
        <v>0</v>
      </c>
      <c r="O515" s="88">
        <v>0</v>
      </c>
      <c r="P515" s="88">
        <v>3174.1507999999999</v>
      </c>
    </row>
    <row r="516" spans="2:16" hidden="1">
      <c r="B516" s="79"/>
      <c r="C516" s="79"/>
      <c r="D516" s="81" t="s">
        <v>180</v>
      </c>
      <c r="E516" s="87">
        <v>2008</v>
      </c>
      <c r="F516" s="88">
        <v>111.91140000000001</v>
      </c>
      <c r="G516" s="88">
        <v>352.41480000000001</v>
      </c>
      <c r="H516" s="88">
        <v>762.76399999999967</v>
      </c>
      <c r="I516" s="88">
        <v>501.04260000000011</v>
      </c>
      <c r="J516" s="88">
        <v>396.8959000000001</v>
      </c>
      <c r="K516" s="88">
        <v>704.7258999999998</v>
      </c>
      <c r="L516" s="88">
        <v>9.3277000000000001</v>
      </c>
      <c r="M516" s="88">
        <v>210.61219999999997</v>
      </c>
      <c r="N516" s="88">
        <v>0</v>
      </c>
      <c r="O516" s="88">
        <v>0</v>
      </c>
      <c r="P516" s="88">
        <v>3049.6945000000005</v>
      </c>
    </row>
    <row r="517" spans="2:16" hidden="1">
      <c r="B517" s="79"/>
      <c r="C517" s="79"/>
      <c r="D517" s="81" t="s">
        <v>180</v>
      </c>
      <c r="E517" s="87">
        <v>2009</v>
      </c>
      <c r="F517" s="88">
        <v>100.81160000000001</v>
      </c>
      <c r="G517" s="88">
        <v>377.88420000000002</v>
      </c>
      <c r="H517" s="88">
        <v>592.11539999999991</v>
      </c>
      <c r="I517" s="88">
        <v>561.06130000000007</v>
      </c>
      <c r="J517" s="88">
        <v>364.16639999999995</v>
      </c>
      <c r="K517" s="88">
        <v>769.39760000000012</v>
      </c>
      <c r="L517" s="88">
        <v>11.933</v>
      </c>
      <c r="M517" s="88">
        <v>229.32700000000003</v>
      </c>
      <c r="N517" s="88">
        <v>0</v>
      </c>
      <c r="O517" s="88">
        <v>0</v>
      </c>
      <c r="P517" s="88">
        <v>3006.6965</v>
      </c>
    </row>
    <row r="518" spans="2:16" hidden="1">
      <c r="B518" s="79"/>
      <c r="C518" s="79"/>
      <c r="D518" s="81" t="s">
        <v>180</v>
      </c>
      <c r="E518" s="87">
        <v>2010</v>
      </c>
      <c r="F518" s="88">
        <v>101.58420000000001</v>
      </c>
      <c r="G518" s="88">
        <v>396.68819999999999</v>
      </c>
      <c r="H518" s="88">
        <v>497.36639999999994</v>
      </c>
      <c r="I518" s="88">
        <v>484.23180000000002</v>
      </c>
      <c r="J518" s="88">
        <v>387.1495000000001</v>
      </c>
      <c r="K518" s="88">
        <v>904.2012000000002</v>
      </c>
      <c r="L518" s="88">
        <v>9.3210000000000015</v>
      </c>
      <c r="M518" s="88">
        <v>224.16840000000002</v>
      </c>
      <c r="N518" s="88">
        <v>0</v>
      </c>
      <c r="O518" s="88">
        <v>0</v>
      </c>
      <c r="P518" s="88">
        <v>3004.7107000000005</v>
      </c>
    </row>
    <row r="519" spans="2:16" hidden="1">
      <c r="B519" s="79"/>
      <c r="C519" s="79"/>
      <c r="D519" s="81" t="s">
        <v>180</v>
      </c>
      <c r="E519" s="87">
        <v>2011</v>
      </c>
      <c r="F519" s="88">
        <v>70.413300000000007</v>
      </c>
      <c r="G519" s="88">
        <v>447.94720000000007</v>
      </c>
      <c r="H519" s="88">
        <v>428.60949999999997</v>
      </c>
      <c r="I519" s="88">
        <v>458.04920000000004</v>
      </c>
      <c r="J519" s="88">
        <v>406.05999999999995</v>
      </c>
      <c r="K519" s="88">
        <v>965.63110000000017</v>
      </c>
      <c r="L519" s="88">
        <v>17.832599999999999</v>
      </c>
      <c r="M519" s="88">
        <v>202.63819999999998</v>
      </c>
      <c r="N519" s="88">
        <v>0</v>
      </c>
      <c r="O519" s="88">
        <v>0</v>
      </c>
      <c r="P519" s="88">
        <v>2997.1811000000012</v>
      </c>
    </row>
    <row r="520" spans="2:16" hidden="1">
      <c r="B520" s="79"/>
      <c r="C520" s="79"/>
      <c r="D520" s="81" t="s">
        <v>180</v>
      </c>
      <c r="E520" s="82">
        <v>2012</v>
      </c>
      <c r="F520" s="83">
        <v>1.3331999999999999</v>
      </c>
      <c r="G520" s="83">
        <v>458.08019999999999</v>
      </c>
      <c r="H520" s="83">
        <v>495.23369999999971</v>
      </c>
      <c r="I520" s="83">
        <v>545.0412</v>
      </c>
      <c r="J520" s="83">
        <v>397.31319999999999</v>
      </c>
      <c r="K520" s="83">
        <v>1017.2166000000005</v>
      </c>
      <c r="L520" s="83">
        <v>25.300900000000002</v>
      </c>
      <c r="M520" s="83">
        <v>227.8382</v>
      </c>
      <c r="N520" s="83">
        <v>0</v>
      </c>
      <c r="O520" s="83">
        <v>0</v>
      </c>
      <c r="P520" s="83">
        <v>3167.3572000000008</v>
      </c>
    </row>
    <row r="521" spans="2:16" hidden="1">
      <c r="B521" s="79"/>
      <c r="C521" s="79"/>
      <c r="D521" s="77" t="s">
        <v>180</v>
      </c>
      <c r="E521" s="87">
        <v>2005</v>
      </c>
      <c r="F521" s="88">
        <v>0</v>
      </c>
      <c r="G521" s="88">
        <v>22.061199999999999</v>
      </c>
      <c r="H521" s="88">
        <v>53.070499999999996</v>
      </c>
      <c r="I521" s="88">
        <v>57.32139999999999</v>
      </c>
      <c r="J521" s="88">
        <v>779.91550000000041</v>
      </c>
      <c r="K521" s="88">
        <v>131.00980000000001</v>
      </c>
      <c r="L521" s="88">
        <v>0</v>
      </c>
      <c r="M521" s="88">
        <v>0</v>
      </c>
      <c r="N521" s="88">
        <v>0</v>
      </c>
      <c r="O521" s="88">
        <v>0</v>
      </c>
      <c r="P521" s="88">
        <v>1043.3784000000001</v>
      </c>
    </row>
    <row r="522" spans="2:16" hidden="1">
      <c r="B522" s="79"/>
      <c r="C522" s="79"/>
      <c r="D522" s="81" t="s">
        <v>179</v>
      </c>
      <c r="E522" s="87">
        <v>2006</v>
      </c>
      <c r="F522" s="88">
        <v>2.0259999999999998</v>
      </c>
      <c r="G522" s="88">
        <v>33.8155</v>
      </c>
      <c r="H522" s="88">
        <v>48.618899999999975</v>
      </c>
      <c r="I522" s="88">
        <v>39.369900000000008</v>
      </c>
      <c r="J522" s="88">
        <v>533.10730000000035</v>
      </c>
      <c r="K522" s="88">
        <v>174.77020000000002</v>
      </c>
      <c r="L522" s="88">
        <v>0</v>
      </c>
      <c r="M522" s="88">
        <v>0</v>
      </c>
      <c r="N522" s="88">
        <v>0</v>
      </c>
      <c r="O522" s="88">
        <v>0</v>
      </c>
      <c r="P522" s="88">
        <v>831.70780000000036</v>
      </c>
    </row>
    <row r="523" spans="2:16" hidden="1">
      <c r="B523" s="79"/>
      <c r="C523" s="79"/>
      <c r="D523" s="81" t="s">
        <v>179</v>
      </c>
      <c r="E523" s="87">
        <v>2007</v>
      </c>
      <c r="F523" s="88">
        <v>13.312699999999998</v>
      </c>
      <c r="G523" s="88">
        <v>42.159899999999993</v>
      </c>
      <c r="H523" s="88">
        <v>59.064099999999996</v>
      </c>
      <c r="I523" s="88">
        <v>42.425699999999992</v>
      </c>
      <c r="J523" s="88">
        <v>414.80770000000007</v>
      </c>
      <c r="K523" s="88">
        <v>243.0301</v>
      </c>
      <c r="L523" s="88">
        <v>0</v>
      </c>
      <c r="M523" s="88">
        <v>0</v>
      </c>
      <c r="N523" s="88">
        <v>0</v>
      </c>
      <c r="O523" s="88">
        <v>0</v>
      </c>
      <c r="P523" s="88">
        <v>814.80020000000036</v>
      </c>
    </row>
    <row r="524" spans="2:16" hidden="1">
      <c r="B524" s="79"/>
      <c r="C524" s="79"/>
      <c r="D524" s="81" t="s">
        <v>179</v>
      </c>
      <c r="E524" s="87">
        <v>2008</v>
      </c>
      <c r="F524" s="88">
        <v>9.3360000000000021</v>
      </c>
      <c r="G524" s="88">
        <v>73.878699999999981</v>
      </c>
      <c r="H524" s="88">
        <v>78.64070000000001</v>
      </c>
      <c r="I524" s="88">
        <v>32.509500000000003</v>
      </c>
      <c r="J524" s="88">
        <v>499.93009999999992</v>
      </c>
      <c r="K524" s="88">
        <v>221.52229999999997</v>
      </c>
      <c r="L524" s="88">
        <v>36.256299999999996</v>
      </c>
      <c r="M524" s="88">
        <v>0.81920000000000004</v>
      </c>
      <c r="N524" s="88">
        <v>0</v>
      </c>
      <c r="O524" s="88">
        <v>0</v>
      </c>
      <c r="P524" s="88">
        <v>952.89280000000008</v>
      </c>
    </row>
    <row r="525" spans="2:16" hidden="1">
      <c r="B525" s="79"/>
      <c r="C525" s="79"/>
      <c r="D525" s="81" t="s">
        <v>179</v>
      </c>
      <c r="E525" s="87">
        <v>2009</v>
      </c>
      <c r="F525" s="88">
        <v>0.98250000000000015</v>
      </c>
      <c r="G525" s="88">
        <v>47.73619999999999</v>
      </c>
      <c r="H525" s="88">
        <v>71.610800000000012</v>
      </c>
      <c r="I525" s="88">
        <v>73.015699999999981</v>
      </c>
      <c r="J525" s="88">
        <v>500.85760000000028</v>
      </c>
      <c r="K525" s="88">
        <v>293.20760000000007</v>
      </c>
      <c r="L525" s="88">
        <v>90.750499999999988</v>
      </c>
      <c r="M525" s="88">
        <v>1.0070999999999999</v>
      </c>
      <c r="N525" s="88">
        <v>0</v>
      </c>
      <c r="O525" s="88">
        <v>0</v>
      </c>
      <c r="P525" s="88">
        <v>1079.1680000000001</v>
      </c>
    </row>
    <row r="526" spans="2:16" hidden="1">
      <c r="B526" s="79"/>
      <c r="C526" s="79"/>
      <c r="D526" s="81" t="s">
        <v>179</v>
      </c>
      <c r="E526" s="87">
        <v>2010</v>
      </c>
      <c r="F526" s="88">
        <v>9.6291000000000011</v>
      </c>
      <c r="G526" s="88">
        <v>40.918400000000005</v>
      </c>
      <c r="H526" s="88">
        <v>127.24190000000003</v>
      </c>
      <c r="I526" s="88">
        <v>84.004800000000003</v>
      </c>
      <c r="J526" s="88">
        <v>513.80669999999998</v>
      </c>
      <c r="K526" s="88">
        <v>410.64400000000018</v>
      </c>
      <c r="L526" s="88">
        <v>114.62830000000001</v>
      </c>
      <c r="M526" s="88">
        <v>1.25</v>
      </c>
      <c r="N526" s="88">
        <v>0</v>
      </c>
      <c r="O526" s="88">
        <v>0</v>
      </c>
      <c r="P526" s="88">
        <v>1302.1232000000007</v>
      </c>
    </row>
    <row r="527" spans="2:16" hidden="1">
      <c r="B527" s="79"/>
      <c r="C527" s="79"/>
      <c r="D527" s="81" t="s">
        <v>179</v>
      </c>
      <c r="E527" s="87">
        <v>2011</v>
      </c>
      <c r="F527" s="88">
        <v>4.9579999999999993</v>
      </c>
      <c r="G527" s="88">
        <v>38.718799999999995</v>
      </c>
      <c r="H527" s="88">
        <v>177.80759999999995</v>
      </c>
      <c r="I527" s="88">
        <v>101.52869999999996</v>
      </c>
      <c r="J527" s="88">
        <v>497.02339999999998</v>
      </c>
      <c r="K527" s="88">
        <v>470.3438000000001</v>
      </c>
      <c r="L527" s="88">
        <v>100.01879999999998</v>
      </c>
      <c r="M527" s="88">
        <v>1.75</v>
      </c>
      <c r="N527" s="88">
        <v>0</v>
      </c>
      <c r="O527" s="88">
        <v>0</v>
      </c>
      <c r="P527" s="88">
        <v>1392.1491000000008</v>
      </c>
    </row>
    <row r="528" spans="2:16" hidden="1">
      <c r="B528" s="79"/>
      <c r="C528" s="79"/>
      <c r="D528" s="81" t="s">
        <v>179</v>
      </c>
      <c r="E528" s="82">
        <v>2012</v>
      </c>
      <c r="F528" s="83">
        <v>0.16669999999999999</v>
      </c>
      <c r="G528" s="83">
        <v>47.943299999999994</v>
      </c>
      <c r="H528" s="83">
        <v>102.82290000000002</v>
      </c>
      <c r="I528" s="83">
        <v>78.651799999999994</v>
      </c>
      <c r="J528" s="83">
        <v>441.34810000000022</v>
      </c>
      <c r="K528" s="83">
        <v>458.87480000000005</v>
      </c>
      <c r="L528" s="83">
        <v>119.33509999999998</v>
      </c>
      <c r="M528" s="83">
        <v>0</v>
      </c>
      <c r="N528" s="83">
        <v>0</v>
      </c>
      <c r="O528" s="83">
        <v>0</v>
      </c>
      <c r="P528" s="83">
        <v>1249.1427000000001</v>
      </c>
    </row>
    <row r="529" spans="2:16" hidden="1">
      <c r="B529" s="79"/>
      <c r="C529" s="79"/>
      <c r="D529" s="77" t="s">
        <v>119</v>
      </c>
      <c r="E529" s="87">
        <v>2005</v>
      </c>
      <c r="F529" s="88">
        <v>67.724800000000016</v>
      </c>
      <c r="G529" s="88">
        <v>309.91749999999985</v>
      </c>
      <c r="H529" s="88">
        <v>484.2543</v>
      </c>
      <c r="I529" s="88">
        <v>941.74310000000003</v>
      </c>
      <c r="J529" s="88">
        <v>1372.9958000000004</v>
      </c>
      <c r="K529" s="88">
        <v>492.47389999999996</v>
      </c>
      <c r="L529" s="88">
        <v>13.122999999999999</v>
      </c>
      <c r="M529" s="88">
        <v>219.1712</v>
      </c>
      <c r="N529" s="88">
        <v>0</v>
      </c>
      <c r="O529" s="88">
        <v>0</v>
      </c>
      <c r="P529" s="88">
        <v>3901.4035999999996</v>
      </c>
    </row>
    <row r="530" spans="2:16" hidden="1">
      <c r="B530" s="79"/>
      <c r="C530" s="79"/>
      <c r="D530" s="81" t="s">
        <v>119</v>
      </c>
      <c r="E530" s="87">
        <v>2006</v>
      </c>
      <c r="F530" s="88">
        <v>143.92240000000001</v>
      </c>
      <c r="G530" s="88">
        <v>416.11309999999986</v>
      </c>
      <c r="H530" s="88">
        <v>684.74079999999981</v>
      </c>
      <c r="I530" s="88">
        <v>601.81020000000012</v>
      </c>
      <c r="J530" s="88">
        <v>1029.0714000000005</v>
      </c>
      <c r="K530" s="88">
        <v>691.85660000000007</v>
      </c>
      <c r="L530" s="88">
        <v>4.9600000000000009</v>
      </c>
      <c r="M530" s="88">
        <v>228.0711</v>
      </c>
      <c r="N530" s="88">
        <v>0</v>
      </c>
      <c r="O530" s="88">
        <v>0</v>
      </c>
      <c r="P530" s="88">
        <v>3800.5456000000031</v>
      </c>
    </row>
    <row r="531" spans="2:16" hidden="1">
      <c r="B531" s="79"/>
      <c r="C531" s="79"/>
      <c r="D531" s="81" t="s">
        <v>119</v>
      </c>
      <c r="E531" s="87">
        <v>2007</v>
      </c>
      <c r="F531" s="88">
        <v>114.69949999999999</v>
      </c>
      <c r="G531" s="88">
        <v>550.846</v>
      </c>
      <c r="H531" s="88">
        <v>832.05690000000004</v>
      </c>
      <c r="I531" s="88">
        <v>547.82690000000002</v>
      </c>
      <c r="J531" s="88">
        <v>872.46040000000016</v>
      </c>
      <c r="K531" s="88">
        <v>868.24500000000012</v>
      </c>
      <c r="L531" s="88">
        <v>12.069800000000001</v>
      </c>
      <c r="M531" s="88">
        <v>190.74649999999997</v>
      </c>
      <c r="N531" s="88">
        <v>0</v>
      </c>
      <c r="O531" s="88">
        <v>0</v>
      </c>
      <c r="P531" s="88">
        <v>3988.951</v>
      </c>
    </row>
    <row r="532" spans="2:16" hidden="1">
      <c r="B532" s="79"/>
      <c r="C532" s="79"/>
      <c r="D532" s="81" t="s">
        <v>119</v>
      </c>
      <c r="E532" s="87">
        <v>2008</v>
      </c>
      <c r="F532" s="88">
        <v>121.24740000000001</v>
      </c>
      <c r="G532" s="88">
        <v>426.29349999999999</v>
      </c>
      <c r="H532" s="88">
        <v>841.40469999999971</v>
      </c>
      <c r="I532" s="88">
        <v>533.55210000000011</v>
      </c>
      <c r="J532" s="88">
        <v>896.82600000000002</v>
      </c>
      <c r="K532" s="88">
        <v>926.24819999999977</v>
      </c>
      <c r="L532" s="88">
        <v>45.583999999999996</v>
      </c>
      <c r="M532" s="88">
        <v>211.43139999999997</v>
      </c>
      <c r="N532" s="88">
        <v>0</v>
      </c>
      <c r="O532" s="88">
        <v>0</v>
      </c>
      <c r="P532" s="88">
        <v>4002.5873000000006</v>
      </c>
    </row>
    <row r="533" spans="2:16" hidden="1">
      <c r="B533" s="79"/>
      <c r="C533" s="79"/>
      <c r="D533" s="81" t="s">
        <v>119</v>
      </c>
      <c r="E533" s="87">
        <v>2009</v>
      </c>
      <c r="F533" s="88">
        <v>101.79410000000001</v>
      </c>
      <c r="G533" s="88">
        <v>425.62040000000002</v>
      </c>
      <c r="H533" s="88">
        <v>663.72619999999995</v>
      </c>
      <c r="I533" s="88">
        <v>634.077</v>
      </c>
      <c r="J533" s="88">
        <v>865.02400000000023</v>
      </c>
      <c r="K533" s="88">
        <v>1062.6052000000002</v>
      </c>
      <c r="L533" s="88">
        <v>102.68349999999998</v>
      </c>
      <c r="M533" s="88">
        <v>230.33410000000003</v>
      </c>
      <c r="N533" s="88">
        <v>0</v>
      </c>
      <c r="O533" s="88">
        <v>0</v>
      </c>
      <c r="P533" s="88">
        <v>4085.8645000000001</v>
      </c>
    </row>
    <row r="534" spans="2:16" hidden="1">
      <c r="B534" s="79"/>
      <c r="C534" s="79"/>
      <c r="D534" s="81" t="s">
        <v>119</v>
      </c>
      <c r="E534" s="87">
        <v>2010</v>
      </c>
      <c r="F534" s="88">
        <v>111.2133</v>
      </c>
      <c r="G534" s="88">
        <v>437.60660000000001</v>
      </c>
      <c r="H534" s="88">
        <v>624.60829999999999</v>
      </c>
      <c r="I534" s="88">
        <v>568.23660000000007</v>
      </c>
      <c r="J534" s="88">
        <v>900.95620000000008</v>
      </c>
      <c r="K534" s="88">
        <v>1314.8452000000004</v>
      </c>
      <c r="L534" s="88">
        <v>123.94930000000001</v>
      </c>
      <c r="M534" s="88">
        <v>225.41840000000002</v>
      </c>
      <c r="N534" s="88">
        <v>0</v>
      </c>
      <c r="O534" s="88">
        <v>0</v>
      </c>
      <c r="P534" s="88">
        <v>4306.8339000000014</v>
      </c>
    </row>
    <row r="535" spans="2:16" hidden="1">
      <c r="B535" s="79"/>
      <c r="C535" s="79"/>
      <c r="D535" s="81" t="s">
        <v>119</v>
      </c>
      <c r="E535" s="87">
        <v>2011</v>
      </c>
      <c r="F535" s="88">
        <v>75.371300000000005</v>
      </c>
      <c r="G535" s="88">
        <v>486.66600000000005</v>
      </c>
      <c r="H535" s="88">
        <v>606.41709999999989</v>
      </c>
      <c r="I535" s="88">
        <v>559.5779</v>
      </c>
      <c r="J535" s="88">
        <v>903.08339999999998</v>
      </c>
      <c r="K535" s="88">
        <v>1435.9749000000002</v>
      </c>
      <c r="L535" s="88">
        <v>117.85139999999998</v>
      </c>
      <c r="M535" s="88">
        <v>204.38819999999998</v>
      </c>
      <c r="N535" s="88">
        <v>0</v>
      </c>
      <c r="O535" s="88">
        <v>0</v>
      </c>
      <c r="P535" s="88">
        <v>4389.3302000000022</v>
      </c>
    </row>
    <row r="536" spans="2:16" hidden="1">
      <c r="B536" s="79"/>
      <c r="C536" s="89"/>
      <c r="D536" s="81" t="s">
        <v>119</v>
      </c>
      <c r="E536" s="82">
        <v>2012</v>
      </c>
      <c r="F536" s="83">
        <v>1.4999</v>
      </c>
      <c r="G536" s="83">
        <v>506.02350000000001</v>
      </c>
      <c r="H536" s="83">
        <v>598.05659999999978</v>
      </c>
      <c r="I536" s="83">
        <v>623.69299999999998</v>
      </c>
      <c r="J536" s="83">
        <v>838.66130000000021</v>
      </c>
      <c r="K536" s="83">
        <v>1476.0914000000007</v>
      </c>
      <c r="L536" s="83">
        <v>144.636</v>
      </c>
      <c r="M536" s="83">
        <v>227.8382</v>
      </c>
      <c r="N536" s="83">
        <v>0</v>
      </c>
      <c r="O536" s="83">
        <v>0</v>
      </c>
      <c r="P536" s="83">
        <v>4416.4999000000007</v>
      </c>
    </row>
    <row r="537" spans="2:16" hidden="1">
      <c r="B537" s="79"/>
      <c r="C537" s="76" t="s">
        <v>194</v>
      </c>
      <c r="D537" s="77" t="s">
        <v>179</v>
      </c>
      <c r="E537" s="85">
        <v>2005</v>
      </c>
      <c r="F537" s="86">
        <v>78.702499999999972</v>
      </c>
      <c r="G537" s="86">
        <v>650.03089999999986</v>
      </c>
      <c r="H537" s="86">
        <v>1070.8909999999985</v>
      </c>
      <c r="I537" s="86">
        <v>629.41439999999989</v>
      </c>
      <c r="J537" s="86">
        <v>558.48019999999997</v>
      </c>
      <c r="K537" s="86">
        <v>543.61149999999998</v>
      </c>
      <c r="L537" s="86">
        <v>0</v>
      </c>
      <c r="M537" s="86">
        <v>37.883400000000002</v>
      </c>
      <c r="N537" s="86">
        <v>0</v>
      </c>
      <c r="O537" s="86">
        <v>0</v>
      </c>
      <c r="P537" s="86">
        <v>3569.0138999999986</v>
      </c>
    </row>
    <row r="538" spans="2:16" hidden="1">
      <c r="B538" s="79"/>
      <c r="C538" s="79"/>
      <c r="D538" s="81" t="s">
        <v>180</v>
      </c>
      <c r="E538" s="87">
        <v>2006</v>
      </c>
      <c r="F538" s="88">
        <v>66.027899999999988</v>
      </c>
      <c r="G538" s="88">
        <v>882.84189999999921</v>
      </c>
      <c r="H538" s="88">
        <v>1348.8505000000005</v>
      </c>
      <c r="I538" s="88">
        <v>904.70029999999997</v>
      </c>
      <c r="J538" s="88">
        <v>596.61400000000003</v>
      </c>
      <c r="K538" s="88">
        <v>549.11809999999991</v>
      </c>
      <c r="L538" s="88">
        <v>0</v>
      </c>
      <c r="M538" s="88">
        <v>50.837200000000003</v>
      </c>
      <c r="N538" s="88">
        <v>0</v>
      </c>
      <c r="O538" s="88">
        <v>0</v>
      </c>
      <c r="P538" s="88">
        <v>4398.9898999999969</v>
      </c>
    </row>
    <row r="539" spans="2:16" hidden="1">
      <c r="B539" s="79"/>
      <c r="C539" s="79"/>
      <c r="D539" s="81" t="s">
        <v>180</v>
      </c>
      <c r="E539" s="87">
        <v>2007</v>
      </c>
      <c r="F539" s="88">
        <v>246.95980000000003</v>
      </c>
      <c r="G539" s="88">
        <v>1411.1486999999988</v>
      </c>
      <c r="H539" s="88">
        <v>1275.1766999999998</v>
      </c>
      <c r="I539" s="88">
        <v>1209.9851000000001</v>
      </c>
      <c r="J539" s="88">
        <v>675.99300000000017</v>
      </c>
      <c r="K539" s="88">
        <v>528.60720000000003</v>
      </c>
      <c r="L539" s="88">
        <v>0</v>
      </c>
      <c r="M539" s="88">
        <v>47.403499999999994</v>
      </c>
      <c r="N539" s="88">
        <v>0</v>
      </c>
      <c r="O539" s="88">
        <v>0</v>
      </c>
      <c r="P539" s="88">
        <v>5395.2739999999985</v>
      </c>
    </row>
    <row r="540" spans="2:16" hidden="1">
      <c r="B540" s="79"/>
      <c r="C540" s="79"/>
      <c r="D540" s="81" t="s">
        <v>180</v>
      </c>
      <c r="E540" s="87">
        <v>2008</v>
      </c>
      <c r="F540" s="88">
        <v>232.96789999999996</v>
      </c>
      <c r="G540" s="88">
        <v>797.86189999999965</v>
      </c>
      <c r="H540" s="88">
        <v>941.34370000000001</v>
      </c>
      <c r="I540" s="88">
        <v>1138.2689999999993</v>
      </c>
      <c r="J540" s="88">
        <v>615.4858999999999</v>
      </c>
      <c r="K540" s="88">
        <v>534.99889999999994</v>
      </c>
      <c r="L540" s="88">
        <v>0</v>
      </c>
      <c r="M540" s="88">
        <v>31.4193</v>
      </c>
      <c r="N540" s="88">
        <v>0</v>
      </c>
      <c r="O540" s="88">
        <v>0</v>
      </c>
      <c r="P540" s="88">
        <v>4292.346599999998</v>
      </c>
    </row>
    <row r="541" spans="2:16" hidden="1">
      <c r="B541" s="79"/>
      <c r="C541" s="79"/>
      <c r="D541" s="81" t="s">
        <v>180</v>
      </c>
      <c r="E541" s="87">
        <v>2009</v>
      </c>
      <c r="F541" s="88">
        <v>179.47989999999999</v>
      </c>
      <c r="G541" s="88">
        <v>748.14480000000003</v>
      </c>
      <c r="H541" s="88">
        <v>1035.2100999999998</v>
      </c>
      <c r="I541" s="88">
        <v>1112.5812999999998</v>
      </c>
      <c r="J541" s="88">
        <v>732.55330000000004</v>
      </c>
      <c r="K541" s="88">
        <v>535.53129999999987</v>
      </c>
      <c r="L541" s="88">
        <v>0</v>
      </c>
      <c r="M541" s="88">
        <v>33.122400000000006</v>
      </c>
      <c r="N541" s="88">
        <v>0</v>
      </c>
      <c r="O541" s="88">
        <v>0</v>
      </c>
      <c r="P541" s="88">
        <v>4376.6231000000016</v>
      </c>
    </row>
    <row r="542" spans="2:16" hidden="1">
      <c r="B542" s="79"/>
      <c r="C542" s="79"/>
      <c r="D542" s="81" t="s">
        <v>180</v>
      </c>
      <c r="E542" s="87">
        <v>2010</v>
      </c>
      <c r="F542" s="88">
        <v>146.1293</v>
      </c>
      <c r="G542" s="88">
        <v>608.33350000000007</v>
      </c>
      <c r="H542" s="88">
        <v>1047.9573999999998</v>
      </c>
      <c r="I542" s="88">
        <v>994.34519999999975</v>
      </c>
      <c r="J542" s="88">
        <v>786.00559999999984</v>
      </c>
      <c r="K542" s="88">
        <v>647.13669999999991</v>
      </c>
      <c r="L542" s="88">
        <v>3.5</v>
      </c>
      <c r="M542" s="88">
        <v>68.645799999999994</v>
      </c>
      <c r="N542" s="88">
        <v>0</v>
      </c>
      <c r="O542" s="88">
        <v>0</v>
      </c>
      <c r="P542" s="88">
        <v>4302.0535000000018</v>
      </c>
    </row>
    <row r="543" spans="2:16" hidden="1">
      <c r="B543" s="79"/>
      <c r="C543" s="79"/>
      <c r="D543" s="81" t="s">
        <v>180</v>
      </c>
      <c r="E543" s="87">
        <v>2011</v>
      </c>
      <c r="F543" s="88">
        <v>35.473400000000005</v>
      </c>
      <c r="G543" s="88">
        <v>509.39689999999985</v>
      </c>
      <c r="H543" s="88">
        <v>803.14619999999991</v>
      </c>
      <c r="I543" s="88">
        <v>891.59870000000012</v>
      </c>
      <c r="J543" s="88">
        <v>923.67100000000005</v>
      </c>
      <c r="K543" s="88">
        <v>702.7962</v>
      </c>
      <c r="L543" s="88">
        <v>10.5</v>
      </c>
      <c r="M543" s="88">
        <v>62.016400000000004</v>
      </c>
      <c r="N543" s="88">
        <v>0</v>
      </c>
      <c r="O543" s="88">
        <v>0</v>
      </c>
      <c r="P543" s="88">
        <v>3938.5988000000007</v>
      </c>
    </row>
    <row r="544" spans="2:16" hidden="1">
      <c r="B544" s="79"/>
      <c r="C544" s="79"/>
      <c r="D544" s="81" t="s">
        <v>180</v>
      </c>
      <c r="E544" s="82">
        <v>2012</v>
      </c>
      <c r="F544" s="83">
        <v>18.985599999999994</v>
      </c>
      <c r="G544" s="83">
        <v>443.6040999999999</v>
      </c>
      <c r="H544" s="83">
        <v>818.20780000000013</v>
      </c>
      <c r="I544" s="83">
        <v>913.44659999999999</v>
      </c>
      <c r="J544" s="83">
        <v>981.33160000000032</v>
      </c>
      <c r="K544" s="83">
        <v>666.95089999999993</v>
      </c>
      <c r="L544" s="83">
        <v>6.5419999999999998</v>
      </c>
      <c r="M544" s="83">
        <v>63.276700000000005</v>
      </c>
      <c r="N544" s="83">
        <v>0</v>
      </c>
      <c r="O544" s="83">
        <v>0</v>
      </c>
      <c r="P544" s="83">
        <v>3912.3453000000004</v>
      </c>
    </row>
    <row r="545" spans="2:16" hidden="1">
      <c r="B545" s="79"/>
      <c r="C545" s="79"/>
      <c r="D545" s="77" t="s">
        <v>180</v>
      </c>
      <c r="E545" s="87">
        <v>2005</v>
      </c>
      <c r="F545" s="88">
        <v>0</v>
      </c>
      <c r="G545" s="88">
        <v>6.1620000000000008</v>
      </c>
      <c r="H545" s="88">
        <v>35.117299999999986</v>
      </c>
      <c r="I545" s="88">
        <v>7.4859999999999998</v>
      </c>
      <c r="J545" s="88">
        <v>25.515500000000003</v>
      </c>
      <c r="K545" s="88">
        <v>14.298400000000001</v>
      </c>
      <c r="L545" s="88">
        <v>0</v>
      </c>
      <c r="M545" s="88">
        <v>0</v>
      </c>
      <c r="N545" s="88">
        <v>0</v>
      </c>
      <c r="O545" s="88">
        <v>0</v>
      </c>
      <c r="P545" s="88">
        <v>88.5792</v>
      </c>
    </row>
    <row r="546" spans="2:16" hidden="1">
      <c r="B546" s="79"/>
      <c r="C546" s="79"/>
      <c r="D546" s="81" t="s">
        <v>179</v>
      </c>
      <c r="E546" s="87">
        <v>2006</v>
      </c>
      <c r="F546" s="88">
        <v>0</v>
      </c>
      <c r="G546" s="88">
        <v>2.8906999999999998</v>
      </c>
      <c r="H546" s="88">
        <v>22.022500000000001</v>
      </c>
      <c r="I546" s="88">
        <v>5.7252999999999989</v>
      </c>
      <c r="J546" s="88">
        <v>28.023299999999999</v>
      </c>
      <c r="K546" s="88">
        <v>14.291700000000001</v>
      </c>
      <c r="L546" s="88">
        <v>0</v>
      </c>
      <c r="M546" s="88">
        <v>0</v>
      </c>
      <c r="N546" s="88">
        <v>0</v>
      </c>
      <c r="O546" s="88">
        <v>0</v>
      </c>
      <c r="P546" s="88">
        <v>72.953499999999977</v>
      </c>
    </row>
    <row r="547" spans="2:16" hidden="1">
      <c r="B547" s="79"/>
      <c r="C547" s="79"/>
      <c r="D547" s="81" t="s">
        <v>179</v>
      </c>
      <c r="E547" s="87">
        <v>2007</v>
      </c>
      <c r="F547" s="88">
        <v>0</v>
      </c>
      <c r="G547" s="88">
        <v>3.641</v>
      </c>
      <c r="H547" s="88">
        <v>32.939700000000002</v>
      </c>
      <c r="I547" s="88">
        <v>10.026200000000001</v>
      </c>
      <c r="J547" s="88">
        <v>15.143999999999998</v>
      </c>
      <c r="K547" s="88">
        <v>10.5</v>
      </c>
      <c r="L547" s="88">
        <v>0</v>
      </c>
      <c r="M547" s="88">
        <v>2.0370999999999997</v>
      </c>
      <c r="N547" s="88">
        <v>0</v>
      </c>
      <c r="O547" s="88">
        <v>0</v>
      </c>
      <c r="P547" s="88">
        <v>74.287999999999997</v>
      </c>
    </row>
    <row r="548" spans="2:16" hidden="1">
      <c r="B548" s="79"/>
      <c r="C548" s="79"/>
      <c r="D548" s="81" t="s">
        <v>179</v>
      </c>
      <c r="E548" s="87">
        <v>2008</v>
      </c>
      <c r="F548" s="88">
        <v>0.3</v>
      </c>
      <c r="G548" s="88">
        <v>6.1762000000000006</v>
      </c>
      <c r="H548" s="88">
        <v>56.53479999999999</v>
      </c>
      <c r="I548" s="88">
        <v>11.333199999999996</v>
      </c>
      <c r="J548" s="88">
        <v>18.284399999999998</v>
      </c>
      <c r="K548" s="88">
        <v>6.2518000000000002</v>
      </c>
      <c r="L548" s="88">
        <v>0</v>
      </c>
      <c r="M548" s="88">
        <v>17.259599999999995</v>
      </c>
      <c r="N548" s="88">
        <v>0</v>
      </c>
      <c r="O548" s="88">
        <v>0</v>
      </c>
      <c r="P548" s="88">
        <v>116.14</v>
      </c>
    </row>
    <row r="549" spans="2:16" hidden="1">
      <c r="B549" s="79"/>
      <c r="C549" s="79"/>
      <c r="D549" s="81" t="s">
        <v>179</v>
      </c>
      <c r="E549" s="87">
        <v>2009</v>
      </c>
      <c r="F549" s="88">
        <v>0</v>
      </c>
      <c r="G549" s="88">
        <v>13.125799999999998</v>
      </c>
      <c r="H549" s="88">
        <v>50.6021</v>
      </c>
      <c r="I549" s="88">
        <v>13.358600000000003</v>
      </c>
      <c r="J549" s="88">
        <v>65.463000000000022</v>
      </c>
      <c r="K549" s="88">
        <v>3.9169999999999998</v>
      </c>
      <c r="L549" s="88">
        <v>0</v>
      </c>
      <c r="M549" s="88">
        <v>60.866600000000005</v>
      </c>
      <c r="N549" s="88">
        <v>0</v>
      </c>
      <c r="O549" s="88">
        <v>0</v>
      </c>
      <c r="P549" s="88">
        <v>207.3331</v>
      </c>
    </row>
    <row r="550" spans="2:16" hidden="1">
      <c r="B550" s="79"/>
      <c r="C550" s="79"/>
      <c r="D550" s="81" t="s">
        <v>179</v>
      </c>
      <c r="E550" s="87">
        <v>2010</v>
      </c>
      <c r="F550" s="88">
        <v>0</v>
      </c>
      <c r="G550" s="88">
        <v>3.9779999999999998</v>
      </c>
      <c r="H550" s="88">
        <v>30.556799999999992</v>
      </c>
      <c r="I550" s="88">
        <v>18.679400000000001</v>
      </c>
      <c r="J550" s="88">
        <v>75.312899999999985</v>
      </c>
      <c r="K550" s="88">
        <v>13.167999999999999</v>
      </c>
      <c r="L550" s="88">
        <v>1</v>
      </c>
      <c r="M550" s="88">
        <v>146.43909999999997</v>
      </c>
      <c r="N550" s="88">
        <v>0</v>
      </c>
      <c r="O550" s="88">
        <v>0</v>
      </c>
      <c r="P550" s="88">
        <v>289.13419999999996</v>
      </c>
    </row>
    <row r="551" spans="2:16" hidden="1">
      <c r="B551" s="79"/>
      <c r="C551" s="79"/>
      <c r="D551" s="81" t="s">
        <v>179</v>
      </c>
      <c r="E551" s="87">
        <v>2011</v>
      </c>
      <c r="F551" s="88">
        <v>0</v>
      </c>
      <c r="G551" s="88">
        <v>6.8369999999999997</v>
      </c>
      <c r="H551" s="88">
        <v>89.899200000000008</v>
      </c>
      <c r="I551" s="88">
        <v>22.4528</v>
      </c>
      <c r="J551" s="88">
        <v>109.9311</v>
      </c>
      <c r="K551" s="88">
        <v>23.175899999999999</v>
      </c>
      <c r="L551" s="88">
        <v>2</v>
      </c>
      <c r="M551" s="88">
        <v>188.18429999999998</v>
      </c>
      <c r="N551" s="88">
        <v>0</v>
      </c>
      <c r="O551" s="88">
        <v>0</v>
      </c>
      <c r="P551" s="88">
        <v>442.48030000000006</v>
      </c>
    </row>
    <row r="552" spans="2:16" hidden="1">
      <c r="B552" s="79"/>
      <c r="C552" s="79"/>
      <c r="D552" s="81" t="s">
        <v>179</v>
      </c>
      <c r="E552" s="82">
        <v>2012</v>
      </c>
      <c r="F552" s="83">
        <v>0</v>
      </c>
      <c r="G552" s="83">
        <v>5.4626000000000001</v>
      </c>
      <c r="H552" s="83">
        <v>88.864200000000011</v>
      </c>
      <c r="I552" s="83">
        <v>49.128099999999996</v>
      </c>
      <c r="J552" s="83">
        <v>130.08920000000001</v>
      </c>
      <c r="K552" s="83">
        <v>30.666699999999999</v>
      </c>
      <c r="L552" s="83">
        <v>6.7492000000000001</v>
      </c>
      <c r="M552" s="83">
        <v>184.36279999999991</v>
      </c>
      <c r="N552" s="83">
        <v>0</v>
      </c>
      <c r="O552" s="83">
        <v>0</v>
      </c>
      <c r="P552" s="83">
        <v>495.32280000000009</v>
      </c>
    </row>
    <row r="553" spans="2:16" hidden="1">
      <c r="B553" s="79"/>
      <c r="C553" s="79"/>
      <c r="D553" s="77" t="s">
        <v>119</v>
      </c>
      <c r="E553" s="87">
        <v>2005</v>
      </c>
      <c r="F553" s="88">
        <v>78.702499999999972</v>
      </c>
      <c r="G553" s="88">
        <v>656.1928999999999</v>
      </c>
      <c r="H553" s="88">
        <v>1106.0082999999984</v>
      </c>
      <c r="I553" s="88">
        <v>636.90039999999988</v>
      </c>
      <c r="J553" s="88">
        <v>583.99569999999994</v>
      </c>
      <c r="K553" s="88">
        <v>557.90989999999999</v>
      </c>
      <c r="L553" s="88">
        <v>0</v>
      </c>
      <c r="M553" s="88">
        <v>37.883400000000002</v>
      </c>
      <c r="N553" s="88">
        <v>0</v>
      </c>
      <c r="O553" s="88">
        <v>0</v>
      </c>
      <c r="P553" s="88">
        <v>3657.5930999999987</v>
      </c>
    </row>
    <row r="554" spans="2:16" hidden="1">
      <c r="B554" s="79"/>
      <c r="C554" s="79"/>
      <c r="D554" s="81" t="s">
        <v>119</v>
      </c>
      <c r="E554" s="87">
        <v>2006</v>
      </c>
      <c r="F554" s="88">
        <v>66.027899999999988</v>
      </c>
      <c r="G554" s="88">
        <v>885.73259999999925</v>
      </c>
      <c r="H554" s="88">
        <v>1370.8730000000005</v>
      </c>
      <c r="I554" s="88">
        <v>910.42559999999992</v>
      </c>
      <c r="J554" s="88">
        <v>624.63729999999998</v>
      </c>
      <c r="K554" s="88">
        <v>563.4097999999999</v>
      </c>
      <c r="L554" s="88">
        <v>0</v>
      </c>
      <c r="M554" s="88">
        <v>50.837200000000003</v>
      </c>
      <c r="N554" s="88">
        <v>0</v>
      </c>
      <c r="O554" s="88">
        <v>0</v>
      </c>
      <c r="P554" s="88">
        <v>4471.9433999999965</v>
      </c>
    </row>
    <row r="555" spans="2:16" hidden="1">
      <c r="B555" s="79"/>
      <c r="C555" s="79"/>
      <c r="D555" s="81" t="s">
        <v>119</v>
      </c>
      <c r="E555" s="87">
        <v>2007</v>
      </c>
      <c r="F555" s="88">
        <v>246.95980000000003</v>
      </c>
      <c r="G555" s="88">
        <v>1414.7896999999989</v>
      </c>
      <c r="H555" s="88">
        <v>1308.1163999999997</v>
      </c>
      <c r="I555" s="88">
        <v>1220.0113000000001</v>
      </c>
      <c r="J555" s="88">
        <v>691.13700000000017</v>
      </c>
      <c r="K555" s="88">
        <v>539.10720000000003</v>
      </c>
      <c r="L555" s="88">
        <v>0</v>
      </c>
      <c r="M555" s="88">
        <v>49.440599999999996</v>
      </c>
      <c r="N555" s="88">
        <v>0</v>
      </c>
      <c r="O555" s="88">
        <v>0</v>
      </c>
      <c r="P555" s="88">
        <v>5469.5619999999981</v>
      </c>
    </row>
    <row r="556" spans="2:16" hidden="1">
      <c r="B556" s="79"/>
      <c r="C556" s="79"/>
      <c r="D556" s="81" t="s">
        <v>119</v>
      </c>
      <c r="E556" s="87">
        <v>2008</v>
      </c>
      <c r="F556" s="88">
        <v>233.26789999999997</v>
      </c>
      <c r="G556" s="88">
        <v>804.03809999999964</v>
      </c>
      <c r="H556" s="88">
        <v>997.87850000000003</v>
      </c>
      <c r="I556" s="88">
        <v>1149.6021999999994</v>
      </c>
      <c r="J556" s="88">
        <v>633.77029999999991</v>
      </c>
      <c r="K556" s="88">
        <v>541.25069999999994</v>
      </c>
      <c r="L556" s="88">
        <v>0</v>
      </c>
      <c r="M556" s="88">
        <v>48.678899999999999</v>
      </c>
      <c r="N556" s="88">
        <v>0</v>
      </c>
      <c r="O556" s="88">
        <v>0</v>
      </c>
      <c r="P556" s="88">
        <v>4408.4865999999984</v>
      </c>
    </row>
    <row r="557" spans="2:16" hidden="1">
      <c r="B557" s="79"/>
      <c r="C557" s="79"/>
      <c r="D557" s="81" t="s">
        <v>119</v>
      </c>
      <c r="E557" s="87">
        <v>2009</v>
      </c>
      <c r="F557" s="88">
        <v>179.47989999999999</v>
      </c>
      <c r="G557" s="88">
        <v>761.27060000000006</v>
      </c>
      <c r="H557" s="88">
        <v>1085.8121999999998</v>
      </c>
      <c r="I557" s="88">
        <v>1125.9398999999999</v>
      </c>
      <c r="J557" s="88">
        <v>798.0163</v>
      </c>
      <c r="K557" s="88">
        <v>539.4482999999999</v>
      </c>
      <c r="L557" s="88">
        <v>0</v>
      </c>
      <c r="M557" s="88">
        <v>93.989000000000004</v>
      </c>
      <c r="N557" s="88">
        <v>0</v>
      </c>
      <c r="O557" s="88">
        <v>0</v>
      </c>
      <c r="P557" s="88">
        <v>4583.9562000000014</v>
      </c>
    </row>
    <row r="558" spans="2:16" hidden="1">
      <c r="B558" s="79"/>
      <c r="C558" s="79"/>
      <c r="D558" s="81" t="s">
        <v>119</v>
      </c>
      <c r="E558" s="87">
        <v>2010</v>
      </c>
      <c r="F558" s="88">
        <v>146.1293</v>
      </c>
      <c r="G558" s="88">
        <v>612.31150000000002</v>
      </c>
      <c r="H558" s="88">
        <v>1078.5141999999998</v>
      </c>
      <c r="I558" s="88">
        <v>1013.0245999999997</v>
      </c>
      <c r="J558" s="88">
        <v>861.31849999999986</v>
      </c>
      <c r="K558" s="88">
        <v>660.30469999999991</v>
      </c>
      <c r="L558" s="88">
        <v>4.5</v>
      </c>
      <c r="M558" s="88">
        <v>215.08489999999995</v>
      </c>
      <c r="N558" s="88">
        <v>0</v>
      </c>
      <c r="O558" s="88">
        <v>0</v>
      </c>
      <c r="P558" s="88">
        <v>4591.1877000000022</v>
      </c>
    </row>
    <row r="559" spans="2:16" hidden="1">
      <c r="B559" s="79"/>
      <c r="C559" s="79"/>
      <c r="D559" s="81" t="s">
        <v>119</v>
      </c>
      <c r="E559" s="87">
        <v>2011</v>
      </c>
      <c r="F559" s="88">
        <v>35.473400000000005</v>
      </c>
      <c r="G559" s="88">
        <v>516.23389999999984</v>
      </c>
      <c r="H559" s="88">
        <v>893.04539999999997</v>
      </c>
      <c r="I559" s="88">
        <v>914.05150000000015</v>
      </c>
      <c r="J559" s="88">
        <v>1033.6021000000001</v>
      </c>
      <c r="K559" s="88">
        <v>725.97209999999995</v>
      </c>
      <c r="L559" s="88">
        <v>12.5</v>
      </c>
      <c r="M559" s="88">
        <v>250.20069999999998</v>
      </c>
      <c r="N559" s="88">
        <v>0</v>
      </c>
      <c r="O559" s="88">
        <v>0</v>
      </c>
      <c r="P559" s="88">
        <v>4381.0791000000008</v>
      </c>
    </row>
    <row r="560" spans="2:16" hidden="1">
      <c r="B560" s="79"/>
      <c r="C560" s="89"/>
      <c r="D560" s="81" t="s">
        <v>119</v>
      </c>
      <c r="E560" s="82">
        <v>2012</v>
      </c>
      <c r="F560" s="83">
        <v>18.985599999999994</v>
      </c>
      <c r="G560" s="83">
        <v>449.06669999999991</v>
      </c>
      <c r="H560" s="83">
        <v>907.07200000000012</v>
      </c>
      <c r="I560" s="83">
        <v>962.57470000000001</v>
      </c>
      <c r="J560" s="83">
        <v>1111.4208000000003</v>
      </c>
      <c r="K560" s="83">
        <v>697.61759999999992</v>
      </c>
      <c r="L560" s="83">
        <v>13.2912</v>
      </c>
      <c r="M560" s="83">
        <v>247.63949999999991</v>
      </c>
      <c r="N560" s="83">
        <v>0</v>
      </c>
      <c r="O560" s="83">
        <v>0</v>
      </c>
      <c r="P560" s="83">
        <v>4407.6681000000008</v>
      </c>
    </row>
    <row r="561" spans="2:16" ht="25.5" hidden="1">
      <c r="B561" s="79"/>
      <c r="C561" s="76" t="s">
        <v>195</v>
      </c>
      <c r="D561" s="77" t="s">
        <v>179</v>
      </c>
      <c r="E561" s="85">
        <v>2005</v>
      </c>
      <c r="F561" s="86">
        <v>3.0251999999999999</v>
      </c>
      <c r="G561" s="86">
        <v>200.01520000000002</v>
      </c>
      <c r="H561" s="86">
        <v>288.67790000000008</v>
      </c>
      <c r="I561" s="86">
        <v>407.76100000000008</v>
      </c>
      <c r="J561" s="86">
        <v>184.51800000000003</v>
      </c>
      <c r="K561" s="86">
        <v>26.319000000000003</v>
      </c>
      <c r="L561" s="86">
        <v>0</v>
      </c>
      <c r="M561" s="86">
        <v>0</v>
      </c>
      <c r="N561" s="86">
        <v>0</v>
      </c>
      <c r="O561" s="86">
        <v>0</v>
      </c>
      <c r="P561" s="86">
        <v>1110.3163</v>
      </c>
    </row>
    <row r="562" spans="2:16" hidden="1">
      <c r="B562" s="79"/>
      <c r="C562" s="79"/>
      <c r="D562" s="81" t="s">
        <v>180</v>
      </c>
      <c r="E562" s="87">
        <v>2006</v>
      </c>
      <c r="F562" s="88">
        <v>37.155500000000011</v>
      </c>
      <c r="G562" s="88">
        <v>216.08720000000005</v>
      </c>
      <c r="H562" s="88">
        <v>286.9024</v>
      </c>
      <c r="I562" s="88">
        <v>417.31729999999993</v>
      </c>
      <c r="J562" s="88">
        <v>127.28670000000002</v>
      </c>
      <c r="K562" s="88">
        <v>10.123200000000002</v>
      </c>
      <c r="L562" s="88">
        <v>0</v>
      </c>
      <c r="M562" s="88">
        <v>0</v>
      </c>
      <c r="N562" s="88">
        <v>0</v>
      </c>
      <c r="O562" s="88">
        <v>0</v>
      </c>
      <c r="P562" s="88">
        <v>1094.8723000000005</v>
      </c>
    </row>
    <row r="563" spans="2:16" hidden="1">
      <c r="B563" s="79"/>
      <c r="C563" s="79"/>
      <c r="D563" s="81" t="s">
        <v>180</v>
      </c>
      <c r="E563" s="87">
        <v>2007</v>
      </c>
      <c r="F563" s="88">
        <v>37.080800000000004</v>
      </c>
      <c r="G563" s="88">
        <v>266.54309999999998</v>
      </c>
      <c r="H563" s="88">
        <v>252.22120000000001</v>
      </c>
      <c r="I563" s="88">
        <v>500.57780000000002</v>
      </c>
      <c r="J563" s="88">
        <v>112.37580000000001</v>
      </c>
      <c r="K563" s="88">
        <v>26.596099999999996</v>
      </c>
      <c r="L563" s="88">
        <v>0</v>
      </c>
      <c r="M563" s="88">
        <v>0</v>
      </c>
      <c r="N563" s="88">
        <v>0</v>
      </c>
      <c r="O563" s="88">
        <v>0</v>
      </c>
      <c r="P563" s="88">
        <v>1195.3948000000007</v>
      </c>
    </row>
    <row r="564" spans="2:16" hidden="1">
      <c r="B564" s="79"/>
      <c r="C564" s="79"/>
      <c r="D564" s="81" t="s">
        <v>180</v>
      </c>
      <c r="E564" s="87">
        <v>2008</v>
      </c>
      <c r="F564" s="88">
        <v>33.516399999999997</v>
      </c>
      <c r="G564" s="88">
        <v>246.64680000000001</v>
      </c>
      <c r="H564" s="88">
        <v>230.48899999999995</v>
      </c>
      <c r="I564" s="88">
        <v>499.06660000000011</v>
      </c>
      <c r="J564" s="88">
        <v>109.8861</v>
      </c>
      <c r="K564" s="88">
        <v>27.393999999999998</v>
      </c>
      <c r="L564" s="88">
        <v>0</v>
      </c>
      <c r="M564" s="88">
        <v>0</v>
      </c>
      <c r="N564" s="88">
        <v>0</v>
      </c>
      <c r="O564" s="88">
        <v>0</v>
      </c>
      <c r="P564" s="88">
        <v>1146.9989000000003</v>
      </c>
    </row>
    <row r="565" spans="2:16" hidden="1">
      <c r="B565" s="79"/>
      <c r="C565" s="79"/>
      <c r="D565" s="81" t="s">
        <v>180</v>
      </c>
      <c r="E565" s="87">
        <v>2009</v>
      </c>
      <c r="F565" s="88">
        <v>20.714699999999997</v>
      </c>
      <c r="G565" s="88">
        <v>367.94920000000008</v>
      </c>
      <c r="H565" s="88">
        <v>250.26360000000003</v>
      </c>
      <c r="I565" s="88">
        <v>412.29289999999986</v>
      </c>
      <c r="J565" s="88">
        <v>86.5184</v>
      </c>
      <c r="K565" s="88">
        <v>40.792999999999999</v>
      </c>
      <c r="L565" s="88">
        <v>0</v>
      </c>
      <c r="M565" s="88">
        <v>0</v>
      </c>
      <c r="N565" s="88">
        <v>0</v>
      </c>
      <c r="O565" s="88">
        <v>0</v>
      </c>
      <c r="P565" s="88">
        <v>1178.5318</v>
      </c>
    </row>
    <row r="566" spans="2:16" hidden="1">
      <c r="B566" s="79"/>
      <c r="C566" s="79"/>
      <c r="D566" s="81" t="s">
        <v>180</v>
      </c>
      <c r="E566" s="87">
        <v>2010</v>
      </c>
      <c r="F566" s="88">
        <v>27.197599999999994</v>
      </c>
      <c r="G566" s="88">
        <v>384.07589999999999</v>
      </c>
      <c r="H566" s="88">
        <v>279.96970000000005</v>
      </c>
      <c r="I566" s="88">
        <v>136.65430000000001</v>
      </c>
      <c r="J566" s="88">
        <v>67.323800000000006</v>
      </c>
      <c r="K566" s="88">
        <v>43.656100000000002</v>
      </c>
      <c r="L566" s="88">
        <v>0</v>
      </c>
      <c r="M566" s="88">
        <v>0</v>
      </c>
      <c r="N566" s="88">
        <v>0</v>
      </c>
      <c r="O566" s="88">
        <v>0</v>
      </c>
      <c r="P566" s="88">
        <v>938.87740000000008</v>
      </c>
    </row>
    <row r="567" spans="2:16" hidden="1">
      <c r="B567" s="79"/>
      <c r="C567" s="79"/>
      <c r="D567" s="81" t="s">
        <v>180</v>
      </c>
      <c r="E567" s="87">
        <v>2011</v>
      </c>
      <c r="F567" s="88">
        <v>0</v>
      </c>
      <c r="G567" s="88">
        <v>0</v>
      </c>
      <c r="H567" s="88">
        <v>0</v>
      </c>
      <c r="I567" s="88">
        <v>0</v>
      </c>
      <c r="J567" s="88">
        <v>0</v>
      </c>
      <c r="K567" s="88">
        <v>0</v>
      </c>
      <c r="L567" s="88">
        <v>0</v>
      </c>
      <c r="M567" s="88">
        <v>0</v>
      </c>
      <c r="N567" s="88">
        <v>0</v>
      </c>
      <c r="O567" s="88">
        <v>0</v>
      </c>
      <c r="P567" s="88">
        <v>0</v>
      </c>
    </row>
    <row r="568" spans="2:16" hidden="1">
      <c r="B568" s="79"/>
      <c r="C568" s="79"/>
      <c r="D568" s="81" t="s">
        <v>180</v>
      </c>
      <c r="E568" s="82">
        <v>2012</v>
      </c>
      <c r="F568" s="83">
        <v>0</v>
      </c>
      <c r="G568" s="83">
        <v>0</v>
      </c>
      <c r="H568" s="83">
        <v>0</v>
      </c>
      <c r="I568" s="83">
        <v>0</v>
      </c>
      <c r="J568" s="83">
        <v>0</v>
      </c>
      <c r="K568" s="83">
        <v>0</v>
      </c>
      <c r="L568" s="83">
        <v>0</v>
      </c>
      <c r="M568" s="83">
        <v>0</v>
      </c>
      <c r="N568" s="83">
        <v>0</v>
      </c>
      <c r="O568" s="83">
        <v>0</v>
      </c>
      <c r="P568" s="83">
        <v>0</v>
      </c>
    </row>
    <row r="569" spans="2:16" hidden="1">
      <c r="B569" s="79"/>
      <c r="C569" s="79"/>
      <c r="D569" s="77" t="s">
        <v>180</v>
      </c>
      <c r="E569" s="87">
        <v>2005</v>
      </c>
      <c r="F569" s="88">
        <v>0</v>
      </c>
      <c r="G569" s="88">
        <v>22.815899999999999</v>
      </c>
      <c r="H569" s="88">
        <v>3.8582000000000001</v>
      </c>
      <c r="I569" s="88">
        <v>1.8748</v>
      </c>
      <c r="J569" s="88">
        <v>14.398599999999998</v>
      </c>
      <c r="K569" s="88">
        <v>0</v>
      </c>
      <c r="L569" s="88">
        <v>0</v>
      </c>
      <c r="M569" s="88">
        <v>0</v>
      </c>
      <c r="N569" s="88">
        <v>0</v>
      </c>
      <c r="O569" s="88">
        <v>0</v>
      </c>
      <c r="P569" s="88">
        <v>42.947499999999998</v>
      </c>
    </row>
    <row r="570" spans="2:16" hidden="1">
      <c r="B570" s="79"/>
      <c r="C570" s="79"/>
      <c r="D570" s="81" t="s">
        <v>179</v>
      </c>
      <c r="E570" s="87">
        <v>2006</v>
      </c>
      <c r="F570" s="88">
        <v>0</v>
      </c>
      <c r="G570" s="88">
        <v>27.811599999999995</v>
      </c>
      <c r="H570" s="88">
        <v>4.9336000000000002</v>
      </c>
      <c r="I570" s="88">
        <v>11.4994</v>
      </c>
      <c r="J570" s="88">
        <v>1.8336999999999999</v>
      </c>
      <c r="K570" s="88">
        <v>0</v>
      </c>
      <c r="L570" s="88">
        <v>0</v>
      </c>
      <c r="M570" s="88">
        <v>0</v>
      </c>
      <c r="N570" s="88">
        <v>0</v>
      </c>
      <c r="O570" s="88">
        <v>0</v>
      </c>
      <c r="P570" s="88">
        <v>46.078299999999999</v>
      </c>
    </row>
    <row r="571" spans="2:16" hidden="1">
      <c r="B571" s="79"/>
      <c r="C571" s="79"/>
      <c r="D571" s="81" t="s">
        <v>179</v>
      </c>
      <c r="E571" s="87">
        <v>2007</v>
      </c>
      <c r="F571" s="88">
        <v>0</v>
      </c>
      <c r="G571" s="88">
        <v>30.278700000000001</v>
      </c>
      <c r="H571" s="88">
        <v>4.4337</v>
      </c>
      <c r="I571" s="88">
        <v>7.5</v>
      </c>
      <c r="J571" s="88">
        <v>2.6672000000000002</v>
      </c>
      <c r="K571" s="88">
        <v>0</v>
      </c>
      <c r="L571" s="88">
        <v>0</v>
      </c>
      <c r="M571" s="88">
        <v>0</v>
      </c>
      <c r="N571" s="88">
        <v>0</v>
      </c>
      <c r="O571" s="88">
        <v>0</v>
      </c>
      <c r="P571" s="88">
        <v>44.879600000000003</v>
      </c>
    </row>
    <row r="572" spans="2:16" hidden="1">
      <c r="B572" s="79"/>
      <c r="C572" s="79"/>
      <c r="D572" s="81" t="s">
        <v>179</v>
      </c>
      <c r="E572" s="87">
        <v>2008</v>
      </c>
      <c r="F572" s="88">
        <v>0</v>
      </c>
      <c r="G572" s="88">
        <v>0.79330000000000001</v>
      </c>
      <c r="H572" s="88">
        <v>0</v>
      </c>
      <c r="I572" s="88">
        <v>5.0748999999999995</v>
      </c>
      <c r="J572" s="88">
        <v>4.5030000000000001</v>
      </c>
      <c r="K572" s="88">
        <v>0</v>
      </c>
      <c r="L572" s="88">
        <v>0</v>
      </c>
      <c r="M572" s="88">
        <v>0</v>
      </c>
      <c r="N572" s="88">
        <v>0</v>
      </c>
      <c r="O572" s="88">
        <v>0</v>
      </c>
      <c r="P572" s="88">
        <v>10.371199999999998</v>
      </c>
    </row>
    <row r="573" spans="2:16" hidden="1">
      <c r="B573" s="79"/>
      <c r="C573" s="79"/>
      <c r="D573" s="81" t="s">
        <v>179</v>
      </c>
      <c r="E573" s="87">
        <v>2009</v>
      </c>
      <c r="F573" s="88">
        <v>0</v>
      </c>
      <c r="G573" s="88">
        <v>1.7430999999999999</v>
      </c>
      <c r="H573" s="88">
        <v>1</v>
      </c>
      <c r="I573" s="88">
        <v>1.5</v>
      </c>
      <c r="J573" s="88">
        <v>2.0002999999999997</v>
      </c>
      <c r="K573" s="88">
        <v>0</v>
      </c>
      <c r="L573" s="88">
        <v>0</v>
      </c>
      <c r="M573" s="88">
        <v>0</v>
      </c>
      <c r="N573" s="88">
        <v>0</v>
      </c>
      <c r="O573" s="88">
        <v>0</v>
      </c>
      <c r="P573" s="88">
        <v>6.2433999999999994</v>
      </c>
    </row>
    <row r="574" spans="2:16" hidden="1">
      <c r="B574" s="79"/>
      <c r="C574" s="79"/>
      <c r="D574" s="81" t="s">
        <v>179</v>
      </c>
      <c r="E574" s="87">
        <v>2010</v>
      </c>
      <c r="F574" s="88">
        <v>0</v>
      </c>
      <c r="G574" s="88">
        <v>0.50009999999999999</v>
      </c>
      <c r="H574" s="88">
        <v>0.12</v>
      </c>
      <c r="I574" s="88">
        <v>0</v>
      </c>
      <c r="J574" s="88">
        <v>0.50009999999999999</v>
      </c>
      <c r="K574" s="88">
        <v>0</v>
      </c>
      <c r="L574" s="88">
        <v>0</v>
      </c>
      <c r="M574" s="88">
        <v>0</v>
      </c>
      <c r="N574" s="88">
        <v>0</v>
      </c>
      <c r="O574" s="88">
        <v>0</v>
      </c>
      <c r="P574" s="88">
        <v>1.1202000000000001</v>
      </c>
    </row>
    <row r="575" spans="2:16" hidden="1">
      <c r="B575" s="79"/>
      <c r="C575" s="79"/>
      <c r="D575" s="81" t="s">
        <v>179</v>
      </c>
      <c r="E575" s="87">
        <v>2011</v>
      </c>
      <c r="F575" s="88">
        <v>0</v>
      </c>
      <c r="G575" s="88">
        <v>0</v>
      </c>
      <c r="H575" s="88">
        <v>0</v>
      </c>
      <c r="I575" s="88">
        <v>0</v>
      </c>
      <c r="J575" s="88">
        <v>0</v>
      </c>
      <c r="K575" s="88">
        <v>0</v>
      </c>
      <c r="L575" s="88">
        <v>0</v>
      </c>
      <c r="M575" s="88">
        <v>0</v>
      </c>
      <c r="N575" s="88">
        <v>0</v>
      </c>
      <c r="O575" s="88">
        <v>0</v>
      </c>
      <c r="P575" s="88">
        <v>0</v>
      </c>
    </row>
    <row r="576" spans="2:16" hidden="1">
      <c r="B576" s="79"/>
      <c r="C576" s="79"/>
      <c r="D576" s="81" t="s">
        <v>179</v>
      </c>
      <c r="E576" s="82">
        <v>2012</v>
      </c>
      <c r="F576" s="83">
        <v>0</v>
      </c>
      <c r="G576" s="83">
        <v>0</v>
      </c>
      <c r="H576" s="83">
        <v>0</v>
      </c>
      <c r="I576" s="83">
        <v>0</v>
      </c>
      <c r="J576" s="83">
        <v>0</v>
      </c>
      <c r="K576" s="83">
        <v>0</v>
      </c>
      <c r="L576" s="83">
        <v>0</v>
      </c>
      <c r="M576" s="83">
        <v>0</v>
      </c>
      <c r="N576" s="83">
        <v>0</v>
      </c>
      <c r="O576" s="83">
        <v>0</v>
      </c>
      <c r="P576" s="83">
        <v>0</v>
      </c>
    </row>
    <row r="577" spans="2:16" hidden="1">
      <c r="B577" s="79"/>
      <c r="C577" s="79"/>
      <c r="D577" s="77" t="s">
        <v>119</v>
      </c>
      <c r="E577" s="87">
        <v>2005</v>
      </c>
      <c r="F577" s="88">
        <v>3.0251999999999999</v>
      </c>
      <c r="G577" s="88">
        <v>222.83110000000002</v>
      </c>
      <c r="H577" s="88">
        <v>292.53610000000009</v>
      </c>
      <c r="I577" s="88">
        <v>409.63580000000007</v>
      </c>
      <c r="J577" s="88">
        <v>198.91660000000002</v>
      </c>
      <c r="K577" s="88">
        <v>26.319000000000003</v>
      </c>
      <c r="L577" s="88">
        <v>0</v>
      </c>
      <c r="M577" s="88">
        <v>0</v>
      </c>
      <c r="N577" s="88">
        <v>0</v>
      </c>
      <c r="O577" s="88">
        <v>0</v>
      </c>
      <c r="P577" s="88">
        <v>1153.2637999999999</v>
      </c>
    </row>
    <row r="578" spans="2:16" hidden="1">
      <c r="B578" s="79"/>
      <c r="C578" s="79"/>
      <c r="D578" s="81" t="s">
        <v>119</v>
      </c>
      <c r="E578" s="87">
        <v>2006</v>
      </c>
      <c r="F578" s="88">
        <v>37.155500000000011</v>
      </c>
      <c r="G578" s="88">
        <v>243.89880000000005</v>
      </c>
      <c r="H578" s="88">
        <v>291.83600000000001</v>
      </c>
      <c r="I578" s="88">
        <v>428.81669999999991</v>
      </c>
      <c r="J578" s="88">
        <v>129.12040000000002</v>
      </c>
      <c r="K578" s="88">
        <v>10.123200000000002</v>
      </c>
      <c r="L578" s="88">
        <v>0</v>
      </c>
      <c r="M578" s="88">
        <v>0</v>
      </c>
      <c r="N578" s="88">
        <v>0</v>
      </c>
      <c r="O578" s="88">
        <v>0</v>
      </c>
      <c r="P578" s="88">
        <v>1140.9506000000003</v>
      </c>
    </row>
    <row r="579" spans="2:16" hidden="1">
      <c r="B579" s="79"/>
      <c r="C579" s="79"/>
      <c r="D579" s="81" t="s">
        <v>119</v>
      </c>
      <c r="E579" s="87">
        <v>2007</v>
      </c>
      <c r="F579" s="88">
        <v>37.080800000000004</v>
      </c>
      <c r="G579" s="88">
        <v>296.8218</v>
      </c>
      <c r="H579" s="88">
        <v>256.6549</v>
      </c>
      <c r="I579" s="88">
        <v>508.07780000000002</v>
      </c>
      <c r="J579" s="88">
        <v>115.04300000000001</v>
      </c>
      <c r="K579" s="88">
        <v>26.596099999999996</v>
      </c>
      <c r="L579" s="88">
        <v>0</v>
      </c>
      <c r="M579" s="88">
        <v>0</v>
      </c>
      <c r="N579" s="88">
        <v>0</v>
      </c>
      <c r="O579" s="88">
        <v>0</v>
      </c>
      <c r="P579" s="88">
        <v>1240.2744000000007</v>
      </c>
    </row>
    <row r="580" spans="2:16" hidden="1">
      <c r="B580" s="79"/>
      <c r="C580" s="79"/>
      <c r="D580" s="81" t="s">
        <v>119</v>
      </c>
      <c r="E580" s="87">
        <v>2008</v>
      </c>
      <c r="F580" s="88">
        <v>33.516399999999997</v>
      </c>
      <c r="G580" s="88">
        <v>247.4401</v>
      </c>
      <c r="H580" s="88">
        <v>230.48899999999995</v>
      </c>
      <c r="I580" s="88">
        <v>504.14150000000012</v>
      </c>
      <c r="J580" s="88">
        <v>114.3891</v>
      </c>
      <c r="K580" s="88">
        <v>27.393999999999998</v>
      </c>
      <c r="L580" s="88">
        <v>0</v>
      </c>
      <c r="M580" s="88">
        <v>0</v>
      </c>
      <c r="N580" s="88">
        <v>0</v>
      </c>
      <c r="O580" s="88">
        <v>0</v>
      </c>
      <c r="P580" s="88">
        <v>1157.3701000000003</v>
      </c>
    </row>
    <row r="581" spans="2:16" hidden="1">
      <c r="B581" s="79"/>
      <c r="C581" s="79"/>
      <c r="D581" s="81" t="s">
        <v>119</v>
      </c>
      <c r="E581" s="87">
        <v>2009</v>
      </c>
      <c r="F581" s="88">
        <v>20.714699999999997</v>
      </c>
      <c r="G581" s="88">
        <v>369.6923000000001</v>
      </c>
      <c r="H581" s="88">
        <v>251.26360000000003</v>
      </c>
      <c r="I581" s="88">
        <v>413.79289999999986</v>
      </c>
      <c r="J581" s="88">
        <v>88.518699999999995</v>
      </c>
      <c r="K581" s="88">
        <v>40.792999999999999</v>
      </c>
      <c r="L581" s="88">
        <v>0</v>
      </c>
      <c r="M581" s="88">
        <v>0</v>
      </c>
      <c r="N581" s="88">
        <v>0</v>
      </c>
      <c r="O581" s="88">
        <v>0</v>
      </c>
      <c r="P581" s="88">
        <v>1184.7752</v>
      </c>
    </row>
    <row r="582" spans="2:16" hidden="1">
      <c r="B582" s="79"/>
      <c r="C582" s="79"/>
      <c r="D582" s="81" t="s">
        <v>119</v>
      </c>
      <c r="E582" s="87">
        <v>2010</v>
      </c>
      <c r="F582" s="88">
        <v>27.197599999999994</v>
      </c>
      <c r="G582" s="88">
        <v>384.57599999999996</v>
      </c>
      <c r="H582" s="88">
        <v>280.08970000000005</v>
      </c>
      <c r="I582" s="88">
        <v>136.65430000000001</v>
      </c>
      <c r="J582" s="88">
        <v>67.823900000000009</v>
      </c>
      <c r="K582" s="88">
        <v>43.656100000000002</v>
      </c>
      <c r="L582" s="88">
        <v>0</v>
      </c>
      <c r="M582" s="88">
        <v>0</v>
      </c>
      <c r="N582" s="88">
        <v>0</v>
      </c>
      <c r="O582" s="88">
        <v>0</v>
      </c>
      <c r="P582" s="88">
        <v>939.99760000000003</v>
      </c>
    </row>
    <row r="583" spans="2:16" hidden="1">
      <c r="B583" s="79"/>
      <c r="C583" s="79"/>
      <c r="D583" s="81" t="s">
        <v>119</v>
      </c>
      <c r="E583" s="87">
        <v>2011</v>
      </c>
      <c r="F583" s="88">
        <v>0</v>
      </c>
      <c r="G583" s="88">
        <v>0</v>
      </c>
      <c r="H583" s="88">
        <v>0</v>
      </c>
      <c r="I583" s="88">
        <v>0</v>
      </c>
      <c r="J583" s="88">
        <v>0</v>
      </c>
      <c r="K583" s="88">
        <v>0</v>
      </c>
      <c r="L583" s="88">
        <v>0</v>
      </c>
      <c r="M583" s="88">
        <v>0</v>
      </c>
      <c r="N583" s="88">
        <v>0</v>
      </c>
      <c r="O583" s="88">
        <v>0</v>
      </c>
      <c r="P583" s="88">
        <v>0</v>
      </c>
    </row>
    <row r="584" spans="2:16" hidden="1">
      <c r="B584" s="79"/>
      <c r="C584" s="89"/>
      <c r="D584" s="81" t="s">
        <v>119</v>
      </c>
      <c r="E584" s="82">
        <v>2012</v>
      </c>
      <c r="F584" s="83">
        <v>0</v>
      </c>
      <c r="G584" s="83">
        <v>0</v>
      </c>
      <c r="H584" s="83">
        <v>0</v>
      </c>
      <c r="I584" s="83">
        <v>0</v>
      </c>
      <c r="J584" s="83">
        <v>0</v>
      </c>
      <c r="K584" s="83">
        <v>0</v>
      </c>
      <c r="L584" s="83">
        <v>0</v>
      </c>
      <c r="M584" s="83">
        <v>0</v>
      </c>
      <c r="N584" s="83">
        <v>0</v>
      </c>
      <c r="O584" s="83">
        <v>0</v>
      </c>
      <c r="P584" s="83">
        <v>0</v>
      </c>
    </row>
    <row r="585" spans="2:16" hidden="1">
      <c r="B585" s="79"/>
      <c r="C585" s="76" t="s">
        <v>196</v>
      </c>
      <c r="D585" s="77" t="s">
        <v>179</v>
      </c>
      <c r="E585" s="85">
        <v>2005</v>
      </c>
      <c r="F585" s="86">
        <v>50.379300000000001</v>
      </c>
      <c r="G585" s="86">
        <v>214.23190000000005</v>
      </c>
      <c r="H585" s="86">
        <v>248.02800000000002</v>
      </c>
      <c r="I585" s="86">
        <v>242.42960000000005</v>
      </c>
      <c r="J585" s="86">
        <v>265.59029999999996</v>
      </c>
      <c r="K585" s="86">
        <v>299.77079999999989</v>
      </c>
      <c r="L585" s="86">
        <v>6.875</v>
      </c>
      <c r="M585" s="86">
        <v>0</v>
      </c>
      <c r="N585" s="86">
        <v>0</v>
      </c>
      <c r="O585" s="86">
        <v>0</v>
      </c>
      <c r="P585" s="86">
        <v>1327.3049000000008</v>
      </c>
    </row>
    <row r="586" spans="2:16" hidden="1">
      <c r="B586" s="79"/>
      <c r="C586" s="79"/>
      <c r="D586" s="81" t="s">
        <v>180</v>
      </c>
      <c r="E586" s="87">
        <v>2006</v>
      </c>
      <c r="F586" s="88">
        <v>48.563299999999998</v>
      </c>
      <c r="G586" s="88">
        <v>261.53669999999988</v>
      </c>
      <c r="H586" s="88">
        <v>207.1761000000001</v>
      </c>
      <c r="I586" s="88">
        <v>206.08950000000004</v>
      </c>
      <c r="J586" s="88">
        <v>297.10919999999993</v>
      </c>
      <c r="K586" s="88">
        <v>284.61060000000009</v>
      </c>
      <c r="L586" s="88">
        <v>9.0823999999999998</v>
      </c>
      <c r="M586" s="88">
        <v>0</v>
      </c>
      <c r="N586" s="88">
        <v>0</v>
      </c>
      <c r="O586" s="88">
        <v>0</v>
      </c>
      <c r="P586" s="88">
        <v>1314.1678000000002</v>
      </c>
    </row>
    <row r="587" spans="2:16" hidden="1">
      <c r="B587" s="79"/>
      <c r="C587" s="79"/>
      <c r="D587" s="81" t="s">
        <v>180</v>
      </c>
      <c r="E587" s="87">
        <v>2007</v>
      </c>
      <c r="F587" s="88">
        <v>45.136599999999994</v>
      </c>
      <c r="G587" s="88">
        <v>232.96640000000002</v>
      </c>
      <c r="H587" s="88">
        <v>265.37859999999995</v>
      </c>
      <c r="I587" s="88">
        <v>193.00720000000004</v>
      </c>
      <c r="J587" s="88">
        <v>431.66960000000017</v>
      </c>
      <c r="K587" s="88">
        <v>215.59290000000004</v>
      </c>
      <c r="L587" s="88">
        <v>5.7925999999999993</v>
      </c>
      <c r="M587" s="88">
        <v>0</v>
      </c>
      <c r="N587" s="88">
        <v>0</v>
      </c>
      <c r="O587" s="88">
        <v>0</v>
      </c>
      <c r="P587" s="88">
        <v>1389.5438999999999</v>
      </c>
    </row>
    <row r="588" spans="2:16" hidden="1">
      <c r="B588" s="79"/>
      <c r="C588" s="79"/>
      <c r="D588" s="81" t="s">
        <v>180</v>
      </c>
      <c r="E588" s="87">
        <v>2008</v>
      </c>
      <c r="F588" s="88">
        <v>47.862099999999998</v>
      </c>
      <c r="G588" s="88">
        <v>288.6035</v>
      </c>
      <c r="H588" s="88">
        <v>247.47839999999999</v>
      </c>
      <c r="I588" s="88">
        <v>211.81990000000002</v>
      </c>
      <c r="J588" s="88">
        <v>492.49100000000004</v>
      </c>
      <c r="K588" s="88">
        <v>161.06809999999999</v>
      </c>
      <c r="L588" s="88">
        <v>3.5</v>
      </c>
      <c r="M588" s="88">
        <v>0</v>
      </c>
      <c r="N588" s="88">
        <v>0</v>
      </c>
      <c r="O588" s="88">
        <v>0</v>
      </c>
      <c r="P588" s="88">
        <v>1452.8230000000001</v>
      </c>
    </row>
    <row r="589" spans="2:16" hidden="1">
      <c r="B589" s="79"/>
      <c r="C589" s="79"/>
      <c r="D589" s="81" t="s">
        <v>180</v>
      </c>
      <c r="E589" s="87">
        <v>2009</v>
      </c>
      <c r="F589" s="88">
        <v>71.077600000000004</v>
      </c>
      <c r="G589" s="88">
        <v>300.66109999999981</v>
      </c>
      <c r="H589" s="88">
        <v>412.91880000000009</v>
      </c>
      <c r="I589" s="88">
        <v>388.51690000000002</v>
      </c>
      <c r="J589" s="88">
        <v>524.04380000000003</v>
      </c>
      <c r="K589" s="88">
        <v>147.50190000000001</v>
      </c>
      <c r="L589" s="88">
        <v>5.125</v>
      </c>
      <c r="M589" s="88">
        <v>0</v>
      </c>
      <c r="N589" s="88">
        <v>0</v>
      </c>
      <c r="O589" s="88">
        <v>0</v>
      </c>
      <c r="P589" s="88">
        <v>1849.8450999999993</v>
      </c>
    </row>
    <row r="590" spans="2:16" hidden="1">
      <c r="B590" s="79"/>
      <c r="C590" s="79"/>
      <c r="D590" s="81" t="s">
        <v>180</v>
      </c>
      <c r="E590" s="87">
        <v>2010</v>
      </c>
      <c r="F590" s="88">
        <v>54.35</v>
      </c>
      <c r="G590" s="88">
        <v>275.13199999999978</v>
      </c>
      <c r="H590" s="88">
        <v>437.31029999999998</v>
      </c>
      <c r="I590" s="88">
        <v>362.09769999999992</v>
      </c>
      <c r="J590" s="88">
        <v>551.7761999999999</v>
      </c>
      <c r="K590" s="88">
        <v>132.37520000000001</v>
      </c>
      <c r="L590" s="88">
        <v>3.75</v>
      </c>
      <c r="M590" s="88">
        <v>0</v>
      </c>
      <c r="N590" s="88">
        <v>0</v>
      </c>
      <c r="O590" s="88">
        <v>0</v>
      </c>
      <c r="P590" s="88">
        <v>1816.7913999999998</v>
      </c>
    </row>
    <row r="591" spans="2:16" hidden="1">
      <c r="B591" s="79"/>
      <c r="C591" s="79"/>
      <c r="D591" s="81" t="s">
        <v>180</v>
      </c>
      <c r="E591" s="87">
        <v>2011</v>
      </c>
      <c r="F591" s="88">
        <v>37.1768</v>
      </c>
      <c r="G591" s="88">
        <v>249.29749999999993</v>
      </c>
      <c r="H591" s="88">
        <v>359.27850000000012</v>
      </c>
      <c r="I591" s="88">
        <v>492.02730000000003</v>
      </c>
      <c r="J591" s="88">
        <v>479.84550000000002</v>
      </c>
      <c r="K591" s="88">
        <v>140.80080000000001</v>
      </c>
      <c r="L591" s="88">
        <v>5.375</v>
      </c>
      <c r="M591" s="88">
        <v>0</v>
      </c>
      <c r="N591" s="88">
        <v>0</v>
      </c>
      <c r="O591" s="88">
        <v>0</v>
      </c>
      <c r="P591" s="88">
        <v>1763.8014000000007</v>
      </c>
    </row>
    <row r="592" spans="2:16" hidden="1">
      <c r="B592" s="79"/>
      <c r="C592" s="79"/>
      <c r="D592" s="81" t="s">
        <v>180</v>
      </c>
      <c r="E592" s="82">
        <v>2012</v>
      </c>
      <c r="F592" s="83">
        <v>37.001999999999995</v>
      </c>
      <c r="G592" s="83">
        <v>290.99779999999998</v>
      </c>
      <c r="H592" s="83">
        <v>397.15760000000006</v>
      </c>
      <c r="I592" s="83">
        <v>558.26109999999994</v>
      </c>
      <c r="J592" s="83">
        <v>444.4205</v>
      </c>
      <c r="K592" s="83">
        <v>155.34620000000001</v>
      </c>
      <c r="L592" s="83">
        <v>3.5</v>
      </c>
      <c r="M592" s="83">
        <v>0</v>
      </c>
      <c r="N592" s="83">
        <v>0</v>
      </c>
      <c r="O592" s="83">
        <v>0</v>
      </c>
      <c r="P592" s="83">
        <v>1886.6851999999994</v>
      </c>
    </row>
    <row r="593" spans="2:16" hidden="1">
      <c r="B593" s="79"/>
      <c r="C593" s="79"/>
      <c r="D593" s="77" t="s">
        <v>180</v>
      </c>
      <c r="E593" s="87">
        <v>2005</v>
      </c>
      <c r="F593" s="88">
        <v>0</v>
      </c>
      <c r="G593" s="88">
        <v>5.0802000000000005</v>
      </c>
      <c r="H593" s="88">
        <v>31.5611</v>
      </c>
      <c r="I593" s="88">
        <v>4.6878000000000002</v>
      </c>
      <c r="J593" s="88">
        <v>23.649200000000008</v>
      </c>
      <c r="K593" s="88">
        <v>112.77979999999998</v>
      </c>
      <c r="L593" s="88">
        <v>0</v>
      </c>
      <c r="M593" s="88">
        <v>0</v>
      </c>
      <c r="N593" s="88">
        <v>0</v>
      </c>
      <c r="O593" s="88">
        <v>0</v>
      </c>
      <c r="P593" s="88">
        <v>177.75809999999996</v>
      </c>
    </row>
    <row r="594" spans="2:16" hidden="1">
      <c r="B594" s="79"/>
      <c r="C594" s="79"/>
      <c r="D594" s="81" t="s">
        <v>179</v>
      </c>
      <c r="E594" s="87">
        <v>2006</v>
      </c>
      <c r="F594" s="88">
        <v>0</v>
      </c>
      <c r="G594" s="88">
        <v>4.0837000000000003</v>
      </c>
      <c r="H594" s="88">
        <v>18.353400000000004</v>
      </c>
      <c r="I594" s="88">
        <v>4.2500999999999998</v>
      </c>
      <c r="J594" s="88">
        <v>22.464400000000001</v>
      </c>
      <c r="K594" s="88">
        <v>72.551899999999989</v>
      </c>
      <c r="L594" s="88">
        <v>0</v>
      </c>
      <c r="M594" s="88">
        <v>0</v>
      </c>
      <c r="N594" s="88">
        <v>0</v>
      </c>
      <c r="O594" s="88">
        <v>0</v>
      </c>
      <c r="P594" s="88">
        <v>121.70349999999999</v>
      </c>
    </row>
    <row r="595" spans="2:16" hidden="1">
      <c r="B595" s="79"/>
      <c r="C595" s="79"/>
      <c r="D595" s="81" t="s">
        <v>179</v>
      </c>
      <c r="E595" s="87">
        <v>2007</v>
      </c>
      <c r="F595" s="88">
        <v>0</v>
      </c>
      <c r="G595" s="88">
        <v>0.5353</v>
      </c>
      <c r="H595" s="88">
        <v>17.570500000000006</v>
      </c>
      <c r="I595" s="88">
        <v>5.2628000000000004</v>
      </c>
      <c r="J595" s="88">
        <v>28.785599999999999</v>
      </c>
      <c r="K595" s="88">
        <v>25.127599999999997</v>
      </c>
      <c r="L595" s="88">
        <v>0</v>
      </c>
      <c r="M595" s="88">
        <v>0</v>
      </c>
      <c r="N595" s="88">
        <v>0</v>
      </c>
      <c r="O595" s="88">
        <v>0</v>
      </c>
      <c r="P595" s="88">
        <v>77.281800000000018</v>
      </c>
    </row>
    <row r="596" spans="2:16" hidden="1">
      <c r="B596" s="79"/>
      <c r="C596" s="79"/>
      <c r="D596" s="81" t="s">
        <v>179</v>
      </c>
      <c r="E596" s="87">
        <v>2008</v>
      </c>
      <c r="F596" s="88">
        <v>0</v>
      </c>
      <c r="G596" s="88">
        <v>1.3021</v>
      </c>
      <c r="H596" s="88">
        <v>21.022400000000001</v>
      </c>
      <c r="I596" s="88">
        <v>3.5545</v>
      </c>
      <c r="J596" s="88">
        <v>35.793200000000006</v>
      </c>
      <c r="K596" s="88">
        <v>3.8754000000000004</v>
      </c>
      <c r="L596" s="88">
        <v>0</v>
      </c>
      <c r="M596" s="88">
        <v>0</v>
      </c>
      <c r="N596" s="88">
        <v>0</v>
      </c>
      <c r="O596" s="88">
        <v>0</v>
      </c>
      <c r="P596" s="88">
        <v>65.547600000000003</v>
      </c>
    </row>
    <row r="597" spans="2:16" hidden="1">
      <c r="B597" s="79"/>
      <c r="C597" s="79"/>
      <c r="D597" s="81" t="s">
        <v>179</v>
      </c>
      <c r="E597" s="87">
        <v>2009</v>
      </c>
      <c r="F597" s="88">
        <v>0</v>
      </c>
      <c r="G597" s="88">
        <v>2.3923999999999999</v>
      </c>
      <c r="H597" s="88">
        <v>12.827699999999998</v>
      </c>
      <c r="I597" s="88">
        <v>3.6188000000000002</v>
      </c>
      <c r="J597" s="88">
        <v>46.5854</v>
      </c>
      <c r="K597" s="88">
        <v>0.5</v>
      </c>
      <c r="L597" s="88">
        <v>0</v>
      </c>
      <c r="M597" s="88">
        <v>0</v>
      </c>
      <c r="N597" s="88">
        <v>0</v>
      </c>
      <c r="O597" s="88">
        <v>0</v>
      </c>
      <c r="P597" s="88">
        <v>65.924299999999988</v>
      </c>
    </row>
    <row r="598" spans="2:16" hidden="1">
      <c r="B598" s="79"/>
      <c r="C598" s="79"/>
      <c r="D598" s="81" t="s">
        <v>179</v>
      </c>
      <c r="E598" s="87">
        <v>2010</v>
      </c>
      <c r="F598" s="88">
        <v>0</v>
      </c>
      <c r="G598" s="88">
        <v>0.75059999999999993</v>
      </c>
      <c r="H598" s="88">
        <v>15.460699999999996</v>
      </c>
      <c r="I598" s="88">
        <v>2.1374</v>
      </c>
      <c r="J598" s="88">
        <v>61.902200000000008</v>
      </c>
      <c r="K598" s="88">
        <v>1</v>
      </c>
      <c r="L598" s="88">
        <v>1</v>
      </c>
      <c r="M598" s="88">
        <v>0</v>
      </c>
      <c r="N598" s="88">
        <v>0</v>
      </c>
      <c r="O598" s="88">
        <v>0</v>
      </c>
      <c r="P598" s="88">
        <v>82.250900000000001</v>
      </c>
    </row>
    <row r="599" spans="2:16" hidden="1">
      <c r="B599" s="79"/>
      <c r="C599" s="79"/>
      <c r="D599" s="81" t="s">
        <v>179</v>
      </c>
      <c r="E599" s="87">
        <v>2011</v>
      </c>
      <c r="F599" s="88">
        <v>0</v>
      </c>
      <c r="G599" s="88">
        <v>0.37529999999999997</v>
      </c>
      <c r="H599" s="88">
        <v>7.4649000000000001</v>
      </c>
      <c r="I599" s="88">
        <v>0</v>
      </c>
      <c r="J599" s="88">
        <v>73.883600000000001</v>
      </c>
      <c r="K599" s="88">
        <v>2</v>
      </c>
      <c r="L599" s="88">
        <v>1.5</v>
      </c>
      <c r="M599" s="88">
        <v>0</v>
      </c>
      <c r="N599" s="88">
        <v>0</v>
      </c>
      <c r="O599" s="88">
        <v>0</v>
      </c>
      <c r="P599" s="88">
        <v>85.223799999999997</v>
      </c>
    </row>
    <row r="600" spans="2:16" hidden="1">
      <c r="B600" s="79"/>
      <c r="C600" s="79"/>
      <c r="D600" s="81" t="s">
        <v>179</v>
      </c>
      <c r="E600" s="82">
        <v>2012</v>
      </c>
      <c r="F600" s="83">
        <v>0</v>
      </c>
      <c r="G600" s="83">
        <v>0.87570000000000003</v>
      </c>
      <c r="H600" s="83">
        <v>8.2210000000000001</v>
      </c>
      <c r="I600" s="83">
        <v>0.125</v>
      </c>
      <c r="J600" s="83">
        <v>54.608199999999997</v>
      </c>
      <c r="K600" s="83">
        <v>2.0000999999999998</v>
      </c>
      <c r="L600" s="83">
        <v>4.25</v>
      </c>
      <c r="M600" s="83">
        <v>0</v>
      </c>
      <c r="N600" s="83">
        <v>0</v>
      </c>
      <c r="O600" s="83">
        <v>0</v>
      </c>
      <c r="P600" s="83">
        <v>70.080000000000013</v>
      </c>
    </row>
    <row r="601" spans="2:16" hidden="1">
      <c r="B601" s="79"/>
      <c r="C601" s="79"/>
      <c r="D601" s="77" t="s">
        <v>119</v>
      </c>
      <c r="E601" s="87">
        <v>2005</v>
      </c>
      <c r="F601" s="88">
        <v>50.379300000000001</v>
      </c>
      <c r="G601" s="88">
        <v>219.31210000000004</v>
      </c>
      <c r="H601" s="88">
        <v>279.58910000000003</v>
      </c>
      <c r="I601" s="88">
        <v>247.11740000000006</v>
      </c>
      <c r="J601" s="88">
        <v>289.23949999999996</v>
      </c>
      <c r="K601" s="88">
        <v>412.55059999999986</v>
      </c>
      <c r="L601" s="88">
        <v>6.875</v>
      </c>
      <c r="M601" s="88">
        <v>0</v>
      </c>
      <c r="N601" s="88">
        <v>0</v>
      </c>
      <c r="O601" s="88">
        <v>0</v>
      </c>
      <c r="P601" s="88">
        <v>1505.0630000000008</v>
      </c>
    </row>
    <row r="602" spans="2:16" hidden="1">
      <c r="B602" s="79"/>
      <c r="C602" s="79"/>
      <c r="D602" s="81" t="s">
        <v>119</v>
      </c>
      <c r="E602" s="87">
        <v>2006</v>
      </c>
      <c r="F602" s="88">
        <v>48.563299999999998</v>
      </c>
      <c r="G602" s="88">
        <v>265.6203999999999</v>
      </c>
      <c r="H602" s="88">
        <v>225.5295000000001</v>
      </c>
      <c r="I602" s="88">
        <v>210.33960000000005</v>
      </c>
      <c r="J602" s="88">
        <v>319.57359999999994</v>
      </c>
      <c r="K602" s="88">
        <v>357.16250000000008</v>
      </c>
      <c r="L602" s="88">
        <v>9.0823999999999998</v>
      </c>
      <c r="M602" s="88">
        <v>0</v>
      </c>
      <c r="N602" s="88">
        <v>0</v>
      </c>
      <c r="O602" s="88">
        <v>0</v>
      </c>
      <c r="P602" s="88">
        <v>1435.8713000000002</v>
      </c>
    </row>
    <row r="603" spans="2:16" hidden="1">
      <c r="B603" s="79"/>
      <c r="C603" s="79"/>
      <c r="D603" s="81" t="s">
        <v>119</v>
      </c>
      <c r="E603" s="87">
        <v>2007</v>
      </c>
      <c r="F603" s="88">
        <v>45.136599999999994</v>
      </c>
      <c r="G603" s="88">
        <v>233.50170000000003</v>
      </c>
      <c r="H603" s="88">
        <v>282.94909999999993</v>
      </c>
      <c r="I603" s="88">
        <v>198.27000000000004</v>
      </c>
      <c r="J603" s="88">
        <v>460.45520000000016</v>
      </c>
      <c r="K603" s="88">
        <v>240.72050000000004</v>
      </c>
      <c r="L603" s="88">
        <v>5.7925999999999993</v>
      </c>
      <c r="M603" s="88">
        <v>0</v>
      </c>
      <c r="N603" s="88">
        <v>0</v>
      </c>
      <c r="O603" s="88">
        <v>0</v>
      </c>
      <c r="P603" s="88">
        <v>1466.8256999999999</v>
      </c>
    </row>
    <row r="604" spans="2:16" hidden="1">
      <c r="B604" s="79"/>
      <c r="C604" s="79"/>
      <c r="D604" s="81" t="s">
        <v>119</v>
      </c>
      <c r="E604" s="87">
        <v>2008</v>
      </c>
      <c r="F604" s="88">
        <v>47.862099999999998</v>
      </c>
      <c r="G604" s="88">
        <v>289.90559999999999</v>
      </c>
      <c r="H604" s="88">
        <v>268.50079999999997</v>
      </c>
      <c r="I604" s="88">
        <v>215.37440000000001</v>
      </c>
      <c r="J604" s="88">
        <v>528.28420000000006</v>
      </c>
      <c r="K604" s="88">
        <v>164.9435</v>
      </c>
      <c r="L604" s="88">
        <v>3.5</v>
      </c>
      <c r="M604" s="88">
        <v>0</v>
      </c>
      <c r="N604" s="88">
        <v>0</v>
      </c>
      <c r="O604" s="88">
        <v>0</v>
      </c>
      <c r="P604" s="88">
        <v>1518.3706000000002</v>
      </c>
    </row>
    <row r="605" spans="2:16" hidden="1">
      <c r="B605" s="79"/>
      <c r="C605" s="79"/>
      <c r="D605" s="81" t="s">
        <v>119</v>
      </c>
      <c r="E605" s="87">
        <v>2009</v>
      </c>
      <c r="F605" s="88">
        <v>71.077600000000004</v>
      </c>
      <c r="G605" s="88">
        <v>303.05349999999981</v>
      </c>
      <c r="H605" s="88">
        <v>425.74650000000008</v>
      </c>
      <c r="I605" s="88">
        <v>392.13570000000004</v>
      </c>
      <c r="J605" s="88">
        <v>570.62920000000008</v>
      </c>
      <c r="K605" s="88">
        <v>148.00190000000001</v>
      </c>
      <c r="L605" s="88">
        <v>5.125</v>
      </c>
      <c r="M605" s="88">
        <v>0</v>
      </c>
      <c r="N605" s="88">
        <v>0</v>
      </c>
      <c r="O605" s="88">
        <v>0</v>
      </c>
      <c r="P605" s="88">
        <v>1915.7693999999992</v>
      </c>
    </row>
    <row r="606" spans="2:16" hidden="1">
      <c r="B606" s="79"/>
      <c r="C606" s="79"/>
      <c r="D606" s="81" t="s">
        <v>119</v>
      </c>
      <c r="E606" s="87">
        <v>2010</v>
      </c>
      <c r="F606" s="88">
        <v>54.35</v>
      </c>
      <c r="G606" s="88">
        <v>275.8825999999998</v>
      </c>
      <c r="H606" s="88">
        <v>452.77099999999996</v>
      </c>
      <c r="I606" s="88">
        <v>364.23509999999993</v>
      </c>
      <c r="J606" s="88">
        <v>613.6783999999999</v>
      </c>
      <c r="K606" s="88">
        <v>133.37520000000001</v>
      </c>
      <c r="L606" s="88">
        <v>4.75</v>
      </c>
      <c r="M606" s="88">
        <v>0</v>
      </c>
      <c r="N606" s="88">
        <v>0</v>
      </c>
      <c r="O606" s="88">
        <v>0</v>
      </c>
      <c r="P606" s="88">
        <v>1899.0422999999998</v>
      </c>
    </row>
    <row r="607" spans="2:16" hidden="1">
      <c r="B607" s="79"/>
      <c r="C607" s="79"/>
      <c r="D607" s="81" t="s">
        <v>119</v>
      </c>
      <c r="E607" s="87">
        <v>2011</v>
      </c>
      <c r="F607" s="88">
        <v>37.1768</v>
      </c>
      <c r="G607" s="88">
        <v>249.67279999999994</v>
      </c>
      <c r="H607" s="88">
        <v>366.74340000000012</v>
      </c>
      <c r="I607" s="88">
        <v>492.02730000000003</v>
      </c>
      <c r="J607" s="88">
        <v>553.72910000000002</v>
      </c>
      <c r="K607" s="88">
        <v>142.80080000000001</v>
      </c>
      <c r="L607" s="88">
        <v>6.875</v>
      </c>
      <c r="M607" s="88">
        <v>0</v>
      </c>
      <c r="N607" s="88">
        <v>0</v>
      </c>
      <c r="O607" s="88">
        <v>0</v>
      </c>
      <c r="P607" s="88">
        <v>1849.0252000000007</v>
      </c>
    </row>
    <row r="608" spans="2:16" hidden="1">
      <c r="B608" s="79"/>
      <c r="C608" s="89"/>
      <c r="D608" s="81" t="s">
        <v>119</v>
      </c>
      <c r="E608" s="82">
        <v>2012</v>
      </c>
      <c r="F608" s="83">
        <v>37.001999999999995</v>
      </c>
      <c r="G608" s="83">
        <v>291.87349999999998</v>
      </c>
      <c r="H608" s="83">
        <v>405.37860000000006</v>
      </c>
      <c r="I608" s="83">
        <v>558.38609999999994</v>
      </c>
      <c r="J608" s="83">
        <v>499.02870000000001</v>
      </c>
      <c r="K608" s="83">
        <v>157.34630000000001</v>
      </c>
      <c r="L608" s="83">
        <v>7.75</v>
      </c>
      <c r="M608" s="83">
        <v>0</v>
      </c>
      <c r="N608" s="83">
        <v>0</v>
      </c>
      <c r="O608" s="83">
        <v>0</v>
      </c>
      <c r="P608" s="83">
        <v>1956.7651999999994</v>
      </c>
    </row>
    <row r="609" spans="2:16" hidden="1">
      <c r="B609" s="79"/>
      <c r="C609" s="76" t="s">
        <v>197</v>
      </c>
      <c r="D609" s="77" t="s">
        <v>179</v>
      </c>
      <c r="E609" s="85">
        <v>2005</v>
      </c>
      <c r="F609" s="86">
        <v>81.466399999999993</v>
      </c>
      <c r="G609" s="86">
        <v>442.70379999999977</v>
      </c>
      <c r="H609" s="86">
        <v>418.21970000000005</v>
      </c>
      <c r="I609" s="86">
        <v>397.29989999999998</v>
      </c>
      <c r="J609" s="86">
        <v>473.50460000000004</v>
      </c>
      <c r="K609" s="86">
        <v>393.96890000000013</v>
      </c>
      <c r="L609" s="86">
        <v>0</v>
      </c>
      <c r="M609" s="86">
        <v>0</v>
      </c>
      <c r="N609" s="86">
        <v>0</v>
      </c>
      <c r="O609" s="86">
        <v>0</v>
      </c>
      <c r="P609" s="86">
        <v>2207.1633000000006</v>
      </c>
    </row>
    <row r="610" spans="2:16" hidden="1">
      <c r="B610" s="79"/>
      <c r="C610" s="79"/>
      <c r="D610" s="81" t="s">
        <v>180</v>
      </c>
      <c r="E610" s="87">
        <v>2006</v>
      </c>
      <c r="F610" s="88">
        <v>62.624299999999991</v>
      </c>
      <c r="G610" s="88">
        <v>350.17290000000014</v>
      </c>
      <c r="H610" s="88">
        <v>323.82229999999987</v>
      </c>
      <c r="I610" s="88">
        <v>503.13549999999981</v>
      </c>
      <c r="J610" s="88">
        <v>380.54810000000003</v>
      </c>
      <c r="K610" s="88">
        <v>346.28670000000005</v>
      </c>
      <c r="L610" s="88">
        <v>0</v>
      </c>
      <c r="M610" s="88">
        <v>0</v>
      </c>
      <c r="N610" s="88">
        <v>0</v>
      </c>
      <c r="O610" s="88">
        <v>0</v>
      </c>
      <c r="P610" s="88">
        <v>1966.5898</v>
      </c>
    </row>
    <row r="611" spans="2:16" hidden="1">
      <c r="B611" s="79"/>
      <c r="C611" s="79"/>
      <c r="D611" s="81" t="s">
        <v>180</v>
      </c>
      <c r="E611" s="87">
        <v>2007</v>
      </c>
      <c r="F611" s="88">
        <v>76.800899999999999</v>
      </c>
      <c r="G611" s="88">
        <v>537.31060000000002</v>
      </c>
      <c r="H611" s="88">
        <v>615.01260000000002</v>
      </c>
      <c r="I611" s="88">
        <v>529.08209999999974</v>
      </c>
      <c r="J611" s="88">
        <v>524.15470000000016</v>
      </c>
      <c r="K611" s="88">
        <v>317.28869999999995</v>
      </c>
      <c r="L611" s="88">
        <v>0</v>
      </c>
      <c r="M611" s="88">
        <v>0</v>
      </c>
      <c r="N611" s="88">
        <v>0</v>
      </c>
      <c r="O611" s="88">
        <v>0</v>
      </c>
      <c r="P611" s="88">
        <v>2599.6495999999988</v>
      </c>
    </row>
    <row r="612" spans="2:16" hidden="1">
      <c r="B612" s="79"/>
      <c r="C612" s="79"/>
      <c r="D612" s="81" t="s">
        <v>180</v>
      </c>
      <c r="E612" s="87">
        <v>2008</v>
      </c>
      <c r="F612" s="88">
        <v>63.80449999999999</v>
      </c>
      <c r="G612" s="88">
        <v>772.7118999999999</v>
      </c>
      <c r="H612" s="88">
        <v>656.03070000000002</v>
      </c>
      <c r="I612" s="88">
        <v>664.65700000000015</v>
      </c>
      <c r="J612" s="88">
        <v>436.74419999999998</v>
      </c>
      <c r="K612" s="88">
        <v>327.12189999999987</v>
      </c>
      <c r="L612" s="88">
        <v>0</v>
      </c>
      <c r="M612" s="88">
        <v>0</v>
      </c>
      <c r="N612" s="88">
        <v>0</v>
      </c>
      <c r="O612" s="88">
        <v>0</v>
      </c>
      <c r="P612" s="88">
        <v>2921.0701999999992</v>
      </c>
    </row>
    <row r="613" spans="2:16" hidden="1">
      <c r="B613" s="79"/>
      <c r="C613" s="79"/>
      <c r="D613" s="81" t="s">
        <v>180</v>
      </c>
      <c r="E613" s="87">
        <v>2009</v>
      </c>
      <c r="F613" s="88">
        <v>63.395300000000006</v>
      </c>
      <c r="G613" s="88">
        <v>664.7610999999996</v>
      </c>
      <c r="H613" s="88">
        <v>754.77330000000006</v>
      </c>
      <c r="I613" s="88">
        <v>743.03590000000008</v>
      </c>
      <c r="J613" s="88">
        <v>458.92820000000012</v>
      </c>
      <c r="K613" s="88">
        <v>404.44589999999999</v>
      </c>
      <c r="L613" s="88">
        <v>0.5</v>
      </c>
      <c r="M613" s="88">
        <v>0</v>
      </c>
      <c r="N613" s="88">
        <v>0</v>
      </c>
      <c r="O613" s="88">
        <v>0</v>
      </c>
      <c r="P613" s="88">
        <v>3089.8396999999986</v>
      </c>
    </row>
    <row r="614" spans="2:16" hidden="1">
      <c r="B614" s="79"/>
      <c r="C614" s="79"/>
      <c r="D614" s="81" t="s">
        <v>180</v>
      </c>
      <c r="E614" s="87">
        <v>2010</v>
      </c>
      <c r="F614" s="88">
        <v>81.011099999999999</v>
      </c>
      <c r="G614" s="88">
        <v>450.09739999999982</v>
      </c>
      <c r="H614" s="88">
        <v>623.05999999999995</v>
      </c>
      <c r="I614" s="88">
        <v>799.34519999999986</v>
      </c>
      <c r="J614" s="88">
        <v>677.91200000000015</v>
      </c>
      <c r="K614" s="88">
        <v>495.25870000000003</v>
      </c>
      <c r="L614" s="88">
        <v>6.5</v>
      </c>
      <c r="M614" s="88">
        <v>0</v>
      </c>
      <c r="N614" s="88">
        <v>0</v>
      </c>
      <c r="O614" s="88">
        <v>0</v>
      </c>
      <c r="P614" s="88">
        <v>3133.184400000001</v>
      </c>
    </row>
    <row r="615" spans="2:16" hidden="1">
      <c r="B615" s="79"/>
      <c r="C615" s="79"/>
      <c r="D615" s="81" t="s">
        <v>180</v>
      </c>
      <c r="E615" s="87">
        <v>2011</v>
      </c>
      <c r="F615" s="88">
        <v>41.010399999999997</v>
      </c>
      <c r="G615" s="88">
        <v>264.70020000000005</v>
      </c>
      <c r="H615" s="88">
        <v>533.65310000000011</v>
      </c>
      <c r="I615" s="88">
        <v>648.12270000000024</v>
      </c>
      <c r="J615" s="88">
        <v>709.51110000000028</v>
      </c>
      <c r="K615" s="88">
        <v>634.1015000000001</v>
      </c>
      <c r="L615" s="88">
        <v>7.8333000000000004</v>
      </c>
      <c r="M615" s="88">
        <v>0</v>
      </c>
      <c r="N615" s="88">
        <v>0</v>
      </c>
      <c r="O615" s="88">
        <v>0</v>
      </c>
      <c r="P615" s="88">
        <v>2838.9323000000013</v>
      </c>
    </row>
    <row r="616" spans="2:16" hidden="1">
      <c r="B616" s="79"/>
      <c r="C616" s="79"/>
      <c r="D616" s="81" t="s">
        <v>180</v>
      </c>
      <c r="E616" s="82">
        <v>2012</v>
      </c>
      <c r="F616" s="83">
        <v>52.959499999999984</v>
      </c>
      <c r="G616" s="83">
        <v>309.63559999999995</v>
      </c>
      <c r="H616" s="83">
        <v>653.99570000000017</v>
      </c>
      <c r="I616" s="83">
        <v>705.7027999999998</v>
      </c>
      <c r="J616" s="83">
        <v>732.36220000000003</v>
      </c>
      <c r="K616" s="83">
        <v>678.35620000000051</v>
      </c>
      <c r="L616" s="83">
        <v>12.0625</v>
      </c>
      <c r="M616" s="83">
        <v>0</v>
      </c>
      <c r="N616" s="83">
        <v>0</v>
      </c>
      <c r="O616" s="83">
        <v>0</v>
      </c>
      <c r="P616" s="83">
        <v>3145.0745000000002</v>
      </c>
    </row>
    <row r="617" spans="2:16" hidden="1">
      <c r="B617" s="79"/>
      <c r="C617" s="79"/>
      <c r="D617" s="77" t="s">
        <v>180</v>
      </c>
      <c r="E617" s="87">
        <v>2005</v>
      </c>
      <c r="F617" s="88">
        <v>33.967300000000002</v>
      </c>
      <c r="G617" s="88">
        <v>5.0575000000000001</v>
      </c>
      <c r="H617" s="88">
        <v>12.134000000000004</v>
      </c>
      <c r="I617" s="88">
        <v>4.0044000000000004</v>
      </c>
      <c r="J617" s="88">
        <v>80.212299999999999</v>
      </c>
      <c r="K617" s="88">
        <v>30.1</v>
      </c>
      <c r="L617" s="88">
        <v>0</v>
      </c>
      <c r="M617" s="88">
        <v>0</v>
      </c>
      <c r="N617" s="88">
        <v>0</v>
      </c>
      <c r="O617" s="88">
        <v>0</v>
      </c>
      <c r="P617" s="88">
        <v>165.47550000000001</v>
      </c>
    </row>
    <row r="618" spans="2:16" hidden="1">
      <c r="B618" s="79"/>
      <c r="C618" s="79"/>
      <c r="D618" s="81" t="s">
        <v>179</v>
      </c>
      <c r="E618" s="87">
        <v>2006</v>
      </c>
      <c r="F618" s="88">
        <v>16.107699999999998</v>
      </c>
      <c r="G618" s="88">
        <v>1.7836000000000003</v>
      </c>
      <c r="H618" s="88">
        <v>3.3069999999999991</v>
      </c>
      <c r="I618" s="88">
        <v>5.3765000000000001</v>
      </c>
      <c r="J618" s="88">
        <v>53.971300000000014</v>
      </c>
      <c r="K618" s="88">
        <v>18.575000000000003</v>
      </c>
      <c r="L618" s="88">
        <v>0</v>
      </c>
      <c r="M618" s="88">
        <v>0</v>
      </c>
      <c r="N618" s="88">
        <v>0</v>
      </c>
      <c r="O618" s="88">
        <v>0</v>
      </c>
      <c r="P618" s="88">
        <v>99.12109999999997</v>
      </c>
    </row>
    <row r="619" spans="2:16" hidden="1">
      <c r="B619" s="79"/>
      <c r="C619" s="79"/>
      <c r="D619" s="81" t="s">
        <v>179</v>
      </c>
      <c r="E619" s="87">
        <v>2007</v>
      </c>
      <c r="F619" s="88">
        <v>23.032900000000005</v>
      </c>
      <c r="G619" s="88">
        <v>6.7686000000000011</v>
      </c>
      <c r="H619" s="88">
        <v>3.5959000000000003</v>
      </c>
      <c r="I619" s="88">
        <v>12.648400000000001</v>
      </c>
      <c r="J619" s="88">
        <v>55.159100000000016</v>
      </c>
      <c r="K619" s="88">
        <v>31.689200000000003</v>
      </c>
      <c r="L619" s="88">
        <v>0</v>
      </c>
      <c r="M619" s="88">
        <v>0</v>
      </c>
      <c r="N619" s="88">
        <v>0</v>
      </c>
      <c r="O619" s="88">
        <v>0</v>
      </c>
      <c r="P619" s="88">
        <v>132.89410000000001</v>
      </c>
    </row>
    <row r="620" spans="2:16" hidden="1">
      <c r="B620" s="79"/>
      <c r="C620" s="79"/>
      <c r="D620" s="81" t="s">
        <v>179</v>
      </c>
      <c r="E620" s="87">
        <v>2008</v>
      </c>
      <c r="F620" s="88">
        <v>52.024499999999989</v>
      </c>
      <c r="G620" s="88">
        <v>1.9791000000000001</v>
      </c>
      <c r="H620" s="88">
        <v>2.2501999999999995</v>
      </c>
      <c r="I620" s="88">
        <v>42.666899999999998</v>
      </c>
      <c r="J620" s="88">
        <v>77.078000000000003</v>
      </c>
      <c r="K620" s="88">
        <v>41.763300000000001</v>
      </c>
      <c r="L620" s="88">
        <v>0</v>
      </c>
      <c r="M620" s="88">
        <v>0</v>
      </c>
      <c r="N620" s="88">
        <v>0</v>
      </c>
      <c r="O620" s="88">
        <v>0</v>
      </c>
      <c r="P620" s="88">
        <v>217.76200000000003</v>
      </c>
    </row>
    <row r="621" spans="2:16" hidden="1">
      <c r="B621" s="79"/>
      <c r="C621" s="79"/>
      <c r="D621" s="81" t="s">
        <v>179</v>
      </c>
      <c r="E621" s="87">
        <v>2009</v>
      </c>
      <c r="F621" s="88">
        <v>49.435099999999998</v>
      </c>
      <c r="G621" s="88">
        <v>1.1458999999999999</v>
      </c>
      <c r="H621" s="88">
        <v>2.5</v>
      </c>
      <c r="I621" s="88">
        <v>48.548400000000001</v>
      </c>
      <c r="J621" s="88">
        <v>202.20590000000001</v>
      </c>
      <c r="K621" s="88">
        <v>42.339899999999993</v>
      </c>
      <c r="L621" s="88">
        <v>3.5</v>
      </c>
      <c r="M621" s="88">
        <v>0</v>
      </c>
      <c r="N621" s="88">
        <v>0</v>
      </c>
      <c r="O621" s="88">
        <v>0</v>
      </c>
      <c r="P621" s="88">
        <v>349.67520000000013</v>
      </c>
    </row>
    <row r="622" spans="2:16" hidden="1">
      <c r="B622" s="79"/>
      <c r="C622" s="79"/>
      <c r="D622" s="81" t="s">
        <v>179</v>
      </c>
      <c r="E622" s="87">
        <v>2010</v>
      </c>
      <c r="F622" s="88">
        <v>48.595499999999994</v>
      </c>
      <c r="G622" s="88">
        <v>1.8333999999999999</v>
      </c>
      <c r="H622" s="88">
        <v>2.0415999999999999</v>
      </c>
      <c r="I622" s="88">
        <v>27.579099999999997</v>
      </c>
      <c r="J622" s="88">
        <v>230.53029999999995</v>
      </c>
      <c r="K622" s="88">
        <v>59.997999999999998</v>
      </c>
      <c r="L622" s="88">
        <v>45.000099999999996</v>
      </c>
      <c r="M622" s="88">
        <v>0</v>
      </c>
      <c r="N622" s="88">
        <v>0</v>
      </c>
      <c r="O622" s="88">
        <v>0</v>
      </c>
      <c r="P622" s="88">
        <v>415.57799999999997</v>
      </c>
    </row>
    <row r="623" spans="2:16" hidden="1">
      <c r="B623" s="79"/>
      <c r="C623" s="79"/>
      <c r="D623" s="81" t="s">
        <v>179</v>
      </c>
      <c r="E623" s="87">
        <v>2011</v>
      </c>
      <c r="F623" s="88">
        <v>94.936200000000014</v>
      </c>
      <c r="G623" s="88">
        <v>0.29139999999999999</v>
      </c>
      <c r="H623" s="88">
        <v>3.6667999999999998</v>
      </c>
      <c r="I623" s="88">
        <v>16.8154</v>
      </c>
      <c r="J623" s="88">
        <v>242.02270000000004</v>
      </c>
      <c r="K623" s="88">
        <v>139.02710000000002</v>
      </c>
      <c r="L623" s="88">
        <v>186.12499999999997</v>
      </c>
      <c r="M623" s="88">
        <v>0</v>
      </c>
      <c r="N623" s="88">
        <v>0</v>
      </c>
      <c r="O623" s="88">
        <v>0</v>
      </c>
      <c r="P623" s="88">
        <v>682.88459999999975</v>
      </c>
    </row>
    <row r="624" spans="2:16" hidden="1">
      <c r="B624" s="79"/>
      <c r="C624" s="79"/>
      <c r="D624" s="81" t="s">
        <v>179</v>
      </c>
      <c r="E624" s="82">
        <v>2012</v>
      </c>
      <c r="F624" s="83">
        <v>101.30799999999999</v>
      </c>
      <c r="G624" s="83">
        <v>0.33360000000000001</v>
      </c>
      <c r="H624" s="83">
        <v>0.79180000000000006</v>
      </c>
      <c r="I624" s="83">
        <v>7.3439999999999994</v>
      </c>
      <c r="J624" s="83">
        <v>254.49669999999998</v>
      </c>
      <c r="K624" s="83">
        <v>223.40119999999999</v>
      </c>
      <c r="L624" s="83">
        <v>213.9366</v>
      </c>
      <c r="M624" s="83">
        <v>0</v>
      </c>
      <c r="N624" s="83">
        <v>0</v>
      </c>
      <c r="O624" s="83">
        <v>0</v>
      </c>
      <c r="P624" s="83">
        <v>801.61189999999954</v>
      </c>
    </row>
    <row r="625" spans="2:16" hidden="1">
      <c r="B625" s="79"/>
      <c r="C625" s="79"/>
      <c r="D625" s="77" t="s">
        <v>119</v>
      </c>
      <c r="E625" s="87">
        <v>2005</v>
      </c>
      <c r="F625" s="88">
        <v>115.43369999999999</v>
      </c>
      <c r="G625" s="88">
        <v>447.76129999999978</v>
      </c>
      <c r="H625" s="88">
        <v>430.35370000000006</v>
      </c>
      <c r="I625" s="88">
        <v>401.30429999999996</v>
      </c>
      <c r="J625" s="88">
        <v>553.71690000000001</v>
      </c>
      <c r="K625" s="88">
        <v>424.06890000000016</v>
      </c>
      <c r="L625" s="88">
        <v>0</v>
      </c>
      <c r="M625" s="88">
        <v>0</v>
      </c>
      <c r="N625" s="88">
        <v>0</v>
      </c>
      <c r="O625" s="88">
        <v>0</v>
      </c>
      <c r="P625" s="88">
        <v>2372.6388000000006</v>
      </c>
    </row>
    <row r="626" spans="2:16" hidden="1">
      <c r="B626" s="79"/>
      <c r="C626" s="79"/>
      <c r="D626" s="81" t="s">
        <v>119</v>
      </c>
      <c r="E626" s="87">
        <v>2006</v>
      </c>
      <c r="F626" s="88">
        <v>78.731999999999985</v>
      </c>
      <c r="G626" s="88">
        <v>351.95650000000012</v>
      </c>
      <c r="H626" s="88">
        <v>327.12929999999989</v>
      </c>
      <c r="I626" s="88">
        <v>508.51199999999983</v>
      </c>
      <c r="J626" s="88">
        <v>434.51940000000002</v>
      </c>
      <c r="K626" s="88">
        <v>364.86170000000004</v>
      </c>
      <c r="L626" s="88">
        <v>0</v>
      </c>
      <c r="M626" s="88">
        <v>0</v>
      </c>
      <c r="N626" s="88">
        <v>0</v>
      </c>
      <c r="O626" s="88">
        <v>0</v>
      </c>
      <c r="P626" s="88">
        <v>2065.7109</v>
      </c>
    </row>
    <row r="627" spans="2:16" hidden="1">
      <c r="B627" s="79"/>
      <c r="C627" s="79"/>
      <c r="D627" s="81" t="s">
        <v>119</v>
      </c>
      <c r="E627" s="87">
        <v>2007</v>
      </c>
      <c r="F627" s="88">
        <v>99.833799999999997</v>
      </c>
      <c r="G627" s="88">
        <v>544.07920000000001</v>
      </c>
      <c r="H627" s="88">
        <v>618.60850000000005</v>
      </c>
      <c r="I627" s="88">
        <v>541.73049999999978</v>
      </c>
      <c r="J627" s="88">
        <v>579.31380000000013</v>
      </c>
      <c r="K627" s="88">
        <v>348.97789999999998</v>
      </c>
      <c r="L627" s="88">
        <v>0</v>
      </c>
      <c r="M627" s="88">
        <v>0</v>
      </c>
      <c r="N627" s="88">
        <v>0</v>
      </c>
      <c r="O627" s="88">
        <v>0</v>
      </c>
      <c r="P627" s="88">
        <v>2732.5436999999988</v>
      </c>
    </row>
    <row r="628" spans="2:16" hidden="1">
      <c r="B628" s="79"/>
      <c r="C628" s="79"/>
      <c r="D628" s="81" t="s">
        <v>119</v>
      </c>
      <c r="E628" s="87">
        <v>2008</v>
      </c>
      <c r="F628" s="88">
        <v>115.82899999999998</v>
      </c>
      <c r="G628" s="88">
        <v>774.69099999999992</v>
      </c>
      <c r="H628" s="88">
        <v>658.28089999999997</v>
      </c>
      <c r="I628" s="88">
        <v>707.32390000000009</v>
      </c>
      <c r="J628" s="88">
        <v>513.82219999999995</v>
      </c>
      <c r="K628" s="88">
        <v>368.88519999999988</v>
      </c>
      <c r="L628" s="88">
        <v>0</v>
      </c>
      <c r="M628" s="88">
        <v>0</v>
      </c>
      <c r="N628" s="88">
        <v>0</v>
      </c>
      <c r="O628" s="88">
        <v>0</v>
      </c>
      <c r="P628" s="88">
        <v>3138.8321999999994</v>
      </c>
    </row>
    <row r="629" spans="2:16" hidden="1">
      <c r="B629" s="79"/>
      <c r="C629" s="79"/>
      <c r="D629" s="81" t="s">
        <v>119</v>
      </c>
      <c r="E629" s="87">
        <v>2009</v>
      </c>
      <c r="F629" s="88">
        <v>112.8304</v>
      </c>
      <c r="G629" s="88">
        <v>665.90699999999958</v>
      </c>
      <c r="H629" s="88">
        <v>757.27330000000006</v>
      </c>
      <c r="I629" s="88">
        <v>791.5843000000001</v>
      </c>
      <c r="J629" s="88">
        <v>661.1341000000001</v>
      </c>
      <c r="K629" s="88">
        <v>446.78579999999999</v>
      </c>
      <c r="L629" s="88">
        <v>4</v>
      </c>
      <c r="M629" s="88">
        <v>0</v>
      </c>
      <c r="N629" s="88">
        <v>0</v>
      </c>
      <c r="O629" s="88">
        <v>0</v>
      </c>
      <c r="P629" s="88">
        <v>3439.5148999999988</v>
      </c>
    </row>
    <row r="630" spans="2:16" hidden="1">
      <c r="B630" s="79"/>
      <c r="C630" s="79"/>
      <c r="D630" s="81" t="s">
        <v>119</v>
      </c>
      <c r="E630" s="87">
        <v>2010</v>
      </c>
      <c r="F630" s="88">
        <v>129.60659999999999</v>
      </c>
      <c r="G630" s="88">
        <v>451.93079999999981</v>
      </c>
      <c r="H630" s="88">
        <v>625.10159999999996</v>
      </c>
      <c r="I630" s="88">
        <v>826.9242999999999</v>
      </c>
      <c r="J630" s="88">
        <v>908.44230000000016</v>
      </c>
      <c r="K630" s="88">
        <v>555.25670000000002</v>
      </c>
      <c r="L630" s="88">
        <v>51.500099999999996</v>
      </c>
      <c r="M630" s="88">
        <v>0</v>
      </c>
      <c r="N630" s="88">
        <v>0</v>
      </c>
      <c r="O630" s="88">
        <v>0</v>
      </c>
      <c r="P630" s="88">
        <v>3548.762400000001</v>
      </c>
    </row>
    <row r="631" spans="2:16" hidden="1">
      <c r="B631" s="79"/>
      <c r="C631" s="79"/>
      <c r="D631" s="81" t="s">
        <v>119</v>
      </c>
      <c r="E631" s="87">
        <v>2011</v>
      </c>
      <c r="F631" s="88">
        <v>135.94660000000002</v>
      </c>
      <c r="G631" s="88">
        <v>264.99160000000006</v>
      </c>
      <c r="H631" s="88">
        <v>537.31990000000008</v>
      </c>
      <c r="I631" s="88">
        <v>664.93810000000019</v>
      </c>
      <c r="J631" s="88">
        <v>951.53380000000038</v>
      </c>
      <c r="K631" s="88">
        <v>773.12860000000012</v>
      </c>
      <c r="L631" s="88">
        <v>193.95829999999998</v>
      </c>
      <c r="M631" s="88">
        <v>0</v>
      </c>
      <c r="N631" s="88">
        <v>0</v>
      </c>
      <c r="O631" s="88">
        <v>0</v>
      </c>
      <c r="P631" s="88">
        <v>3521.8169000000012</v>
      </c>
    </row>
    <row r="632" spans="2:16" hidden="1">
      <c r="B632" s="79"/>
      <c r="C632" s="89"/>
      <c r="D632" s="81" t="s">
        <v>119</v>
      </c>
      <c r="E632" s="82">
        <v>2012</v>
      </c>
      <c r="F632" s="83">
        <v>154.26749999999998</v>
      </c>
      <c r="G632" s="83">
        <v>309.96919999999994</v>
      </c>
      <c r="H632" s="83">
        <v>654.78750000000014</v>
      </c>
      <c r="I632" s="83">
        <v>713.04679999999985</v>
      </c>
      <c r="J632" s="83">
        <v>986.85889999999995</v>
      </c>
      <c r="K632" s="83">
        <v>901.75740000000053</v>
      </c>
      <c r="L632" s="83">
        <v>225.9991</v>
      </c>
      <c r="M632" s="83">
        <v>0</v>
      </c>
      <c r="N632" s="83">
        <v>0</v>
      </c>
      <c r="O632" s="83">
        <v>0</v>
      </c>
      <c r="P632" s="83">
        <v>3946.6863999999996</v>
      </c>
    </row>
    <row r="633" spans="2:16" hidden="1">
      <c r="B633" s="79"/>
      <c r="C633" s="76" t="s">
        <v>198</v>
      </c>
      <c r="D633" s="77" t="s">
        <v>179</v>
      </c>
      <c r="E633" s="85">
        <v>2005</v>
      </c>
      <c r="F633" s="86">
        <v>50.583600000000004</v>
      </c>
      <c r="G633" s="86">
        <v>3092.2916999999952</v>
      </c>
      <c r="H633" s="86">
        <v>1178.4132000000002</v>
      </c>
      <c r="I633" s="86">
        <v>690.31089999999972</v>
      </c>
      <c r="J633" s="86">
        <v>862.46879999999987</v>
      </c>
      <c r="K633" s="86">
        <v>1285.1201000000001</v>
      </c>
      <c r="L633" s="86">
        <v>47.964799999999983</v>
      </c>
      <c r="M633" s="86">
        <v>56.799600000000005</v>
      </c>
      <c r="N633" s="86">
        <v>6.1000000000000005</v>
      </c>
      <c r="O633" s="86">
        <v>0</v>
      </c>
      <c r="P633" s="86">
        <v>7270.0526999999956</v>
      </c>
    </row>
    <row r="634" spans="2:16" hidden="1">
      <c r="B634" s="79"/>
      <c r="C634" s="79"/>
      <c r="D634" s="81" t="s">
        <v>180</v>
      </c>
      <c r="E634" s="87">
        <v>2006</v>
      </c>
      <c r="F634" s="88">
        <v>80.486799999999988</v>
      </c>
      <c r="G634" s="88">
        <v>1293.9722999999985</v>
      </c>
      <c r="H634" s="88">
        <v>1387.8297999999984</v>
      </c>
      <c r="I634" s="88">
        <v>741.37120000000004</v>
      </c>
      <c r="J634" s="88">
        <v>878.76390000000004</v>
      </c>
      <c r="K634" s="88">
        <v>1244.2183</v>
      </c>
      <c r="L634" s="88">
        <v>54.183599999999991</v>
      </c>
      <c r="M634" s="88">
        <v>57</v>
      </c>
      <c r="N634" s="88">
        <v>8.0821999999999985</v>
      </c>
      <c r="O634" s="88">
        <v>0</v>
      </c>
      <c r="P634" s="88">
        <v>5745.9080999999924</v>
      </c>
    </row>
    <row r="635" spans="2:16" hidden="1">
      <c r="B635" s="79"/>
      <c r="C635" s="79"/>
      <c r="D635" s="81" t="s">
        <v>180</v>
      </c>
      <c r="E635" s="87">
        <v>2007</v>
      </c>
      <c r="F635" s="88">
        <v>46.386099999999999</v>
      </c>
      <c r="G635" s="88">
        <v>1101.6045999999997</v>
      </c>
      <c r="H635" s="88">
        <v>1433.0338999999992</v>
      </c>
      <c r="I635" s="88">
        <v>719.20719999999983</v>
      </c>
      <c r="J635" s="88">
        <v>757.15470000000016</v>
      </c>
      <c r="K635" s="88">
        <v>1202.6904000000002</v>
      </c>
      <c r="L635" s="88">
        <v>68.007500000000007</v>
      </c>
      <c r="M635" s="88">
        <v>65.214799999999997</v>
      </c>
      <c r="N635" s="88">
        <v>15.582999999999998</v>
      </c>
      <c r="O635" s="88">
        <v>0</v>
      </c>
      <c r="P635" s="88">
        <v>5408.8821999999982</v>
      </c>
    </row>
    <row r="636" spans="2:16" hidden="1">
      <c r="B636" s="79"/>
      <c r="C636" s="79"/>
      <c r="D636" s="81" t="s">
        <v>180</v>
      </c>
      <c r="E636" s="87">
        <v>2008</v>
      </c>
      <c r="F636" s="88">
        <v>89.43940000000002</v>
      </c>
      <c r="G636" s="88">
        <v>956.30359999999928</v>
      </c>
      <c r="H636" s="88">
        <v>1614.1828</v>
      </c>
      <c r="I636" s="88">
        <v>947.48619999999983</v>
      </c>
      <c r="J636" s="88">
        <v>858.67640000000006</v>
      </c>
      <c r="K636" s="88">
        <v>1305.4075999999995</v>
      </c>
      <c r="L636" s="88">
        <v>60.709599999999995</v>
      </c>
      <c r="M636" s="88">
        <v>65.285200000000003</v>
      </c>
      <c r="N636" s="88">
        <v>13.899499999999998</v>
      </c>
      <c r="O636" s="88">
        <v>0</v>
      </c>
      <c r="P636" s="88">
        <v>5911.3902999999964</v>
      </c>
    </row>
    <row r="637" spans="2:16" hidden="1">
      <c r="B637" s="79"/>
      <c r="C637" s="79"/>
      <c r="D637" s="81" t="s">
        <v>180</v>
      </c>
      <c r="E637" s="87">
        <v>2009</v>
      </c>
      <c r="F637" s="88">
        <v>128.4425</v>
      </c>
      <c r="G637" s="88">
        <v>925.30559999999991</v>
      </c>
      <c r="H637" s="88">
        <v>1344.1557999999993</v>
      </c>
      <c r="I637" s="88">
        <v>845.27529999999979</v>
      </c>
      <c r="J637" s="88">
        <v>812.57170000000008</v>
      </c>
      <c r="K637" s="88">
        <v>1497.8197000000005</v>
      </c>
      <c r="L637" s="88">
        <v>63.430900000000001</v>
      </c>
      <c r="M637" s="88">
        <v>61.84</v>
      </c>
      <c r="N637" s="88">
        <v>13.484500000000001</v>
      </c>
      <c r="O637" s="88">
        <v>0</v>
      </c>
      <c r="P637" s="88">
        <v>5692.3259999999964</v>
      </c>
    </row>
    <row r="638" spans="2:16" hidden="1">
      <c r="B638" s="79"/>
      <c r="C638" s="79"/>
      <c r="D638" s="81" t="s">
        <v>180</v>
      </c>
      <c r="E638" s="87">
        <v>2010</v>
      </c>
      <c r="F638" s="88">
        <v>24.997500000000002</v>
      </c>
      <c r="G638" s="88">
        <v>602.65250000000015</v>
      </c>
      <c r="H638" s="88">
        <v>1215.8146999999999</v>
      </c>
      <c r="I638" s="88">
        <v>1122.2285999999999</v>
      </c>
      <c r="J638" s="88">
        <v>882.28930000000014</v>
      </c>
      <c r="K638" s="88">
        <v>1817.5983000000006</v>
      </c>
      <c r="L638" s="88">
        <v>67.298200000000008</v>
      </c>
      <c r="M638" s="88">
        <v>64.5</v>
      </c>
      <c r="N638" s="88">
        <v>14.6014</v>
      </c>
      <c r="O638" s="88">
        <v>0</v>
      </c>
      <c r="P638" s="88">
        <v>5811.9805000000024</v>
      </c>
    </row>
    <row r="639" spans="2:16" hidden="1">
      <c r="B639" s="79"/>
      <c r="C639" s="79"/>
      <c r="D639" s="81" t="s">
        <v>180</v>
      </c>
      <c r="E639" s="87">
        <v>2011</v>
      </c>
      <c r="F639" s="88">
        <v>19.914700000000003</v>
      </c>
      <c r="G639" s="88">
        <v>518.59350000000006</v>
      </c>
      <c r="H639" s="88">
        <v>1173.895</v>
      </c>
      <c r="I639" s="88">
        <v>920.57279999999992</v>
      </c>
      <c r="J639" s="88">
        <v>921.43320000000028</v>
      </c>
      <c r="K639" s="88">
        <v>2126.7643000000007</v>
      </c>
      <c r="L639" s="88">
        <v>91.688600000000008</v>
      </c>
      <c r="M639" s="88">
        <v>59.66</v>
      </c>
      <c r="N639" s="88">
        <v>17.832000000000001</v>
      </c>
      <c r="O639" s="88">
        <v>0</v>
      </c>
      <c r="P639" s="88">
        <v>5850.3541000000014</v>
      </c>
    </row>
    <row r="640" spans="2:16" hidden="1">
      <c r="B640" s="79"/>
      <c r="C640" s="79"/>
      <c r="D640" s="81" t="s">
        <v>180</v>
      </c>
      <c r="E640" s="82">
        <v>2012</v>
      </c>
      <c r="F640" s="83">
        <v>34.997700000000009</v>
      </c>
      <c r="G640" s="83">
        <v>480.33270000000005</v>
      </c>
      <c r="H640" s="83">
        <v>954.20830000000012</v>
      </c>
      <c r="I640" s="83">
        <v>920.12209999999993</v>
      </c>
      <c r="J640" s="83">
        <v>914.51269999999965</v>
      </c>
      <c r="K640" s="83">
        <v>2241.9390000000003</v>
      </c>
      <c r="L640" s="83">
        <v>57.771000000000001</v>
      </c>
      <c r="M640" s="83">
        <v>71.34</v>
      </c>
      <c r="N640" s="83">
        <v>18.640699999999999</v>
      </c>
      <c r="O640" s="83">
        <v>0</v>
      </c>
      <c r="P640" s="83">
        <v>5693.8642000000027</v>
      </c>
    </row>
    <row r="641" spans="2:16" hidden="1">
      <c r="B641" s="79"/>
      <c r="C641" s="79"/>
      <c r="D641" s="77" t="s">
        <v>180</v>
      </c>
      <c r="E641" s="87">
        <v>2005</v>
      </c>
      <c r="F641" s="88">
        <v>0</v>
      </c>
      <c r="G641" s="88">
        <v>7.2686999999999991</v>
      </c>
      <c r="H641" s="88">
        <v>20.549199999999995</v>
      </c>
      <c r="I641" s="88">
        <v>85.933599999999998</v>
      </c>
      <c r="J641" s="88">
        <v>314.09240000000017</v>
      </c>
      <c r="K641" s="88">
        <v>230.64119999999997</v>
      </c>
      <c r="L641" s="88">
        <v>34.328599999999994</v>
      </c>
      <c r="M641" s="88">
        <v>1</v>
      </c>
      <c r="N641" s="88">
        <v>0</v>
      </c>
      <c r="O641" s="88">
        <v>0</v>
      </c>
      <c r="P641" s="88">
        <v>693.81369999999993</v>
      </c>
    </row>
    <row r="642" spans="2:16" hidden="1">
      <c r="B642" s="79"/>
      <c r="C642" s="79"/>
      <c r="D642" s="81" t="s">
        <v>179</v>
      </c>
      <c r="E642" s="87">
        <v>2006</v>
      </c>
      <c r="F642" s="88">
        <v>0</v>
      </c>
      <c r="G642" s="88">
        <v>0.62549999999999994</v>
      </c>
      <c r="H642" s="88">
        <v>22.125599999999999</v>
      </c>
      <c r="I642" s="88">
        <v>39.949999999999996</v>
      </c>
      <c r="J642" s="88">
        <v>181.76679999999999</v>
      </c>
      <c r="K642" s="88">
        <v>187.51940000000005</v>
      </c>
      <c r="L642" s="88">
        <v>35.083999999999996</v>
      </c>
      <c r="M642" s="88">
        <v>1</v>
      </c>
      <c r="N642" s="88">
        <v>0</v>
      </c>
      <c r="O642" s="88">
        <v>0</v>
      </c>
      <c r="P642" s="88">
        <v>468.07130000000024</v>
      </c>
    </row>
    <row r="643" spans="2:16" hidden="1">
      <c r="B643" s="79"/>
      <c r="C643" s="79"/>
      <c r="D643" s="81" t="s">
        <v>179</v>
      </c>
      <c r="E643" s="87">
        <v>2007</v>
      </c>
      <c r="F643" s="88">
        <v>0</v>
      </c>
      <c r="G643" s="88">
        <v>10.6639</v>
      </c>
      <c r="H643" s="88">
        <v>29.891800000000003</v>
      </c>
      <c r="I643" s="88">
        <v>66.156400000000005</v>
      </c>
      <c r="J643" s="88">
        <v>101.26599999999998</v>
      </c>
      <c r="K643" s="88">
        <v>141.58319999999998</v>
      </c>
      <c r="L643" s="88">
        <v>41.248499999999993</v>
      </c>
      <c r="M643" s="88">
        <v>2</v>
      </c>
      <c r="N643" s="88">
        <v>0</v>
      </c>
      <c r="O643" s="88">
        <v>0</v>
      </c>
      <c r="P643" s="88">
        <v>392.8098</v>
      </c>
    </row>
    <row r="644" spans="2:16" hidden="1">
      <c r="B644" s="79"/>
      <c r="C644" s="79"/>
      <c r="D644" s="81" t="s">
        <v>179</v>
      </c>
      <c r="E644" s="87">
        <v>2008</v>
      </c>
      <c r="F644" s="88">
        <v>0</v>
      </c>
      <c r="G644" s="88">
        <v>4.8762000000000008</v>
      </c>
      <c r="H644" s="88">
        <v>21.791100000000004</v>
      </c>
      <c r="I644" s="88">
        <v>137.00019999999998</v>
      </c>
      <c r="J644" s="88">
        <v>98.849199999999996</v>
      </c>
      <c r="K644" s="88">
        <v>99.965900000000005</v>
      </c>
      <c r="L644" s="88">
        <v>120.08539999999999</v>
      </c>
      <c r="M644" s="88">
        <v>0.13619999999999999</v>
      </c>
      <c r="N644" s="88">
        <v>0</v>
      </c>
      <c r="O644" s="88">
        <v>0</v>
      </c>
      <c r="P644" s="88">
        <v>482.7041999999999</v>
      </c>
    </row>
    <row r="645" spans="2:16" hidden="1">
      <c r="B645" s="79"/>
      <c r="C645" s="79"/>
      <c r="D645" s="81" t="s">
        <v>179</v>
      </c>
      <c r="E645" s="87">
        <v>2009</v>
      </c>
      <c r="F645" s="88">
        <v>0</v>
      </c>
      <c r="G645" s="88">
        <v>2.7258000000000004</v>
      </c>
      <c r="H645" s="88">
        <v>9.4144000000000005</v>
      </c>
      <c r="I645" s="88">
        <v>140.69139999999999</v>
      </c>
      <c r="J645" s="88">
        <v>98.038599999999988</v>
      </c>
      <c r="K645" s="88">
        <v>154.55160000000001</v>
      </c>
      <c r="L645" s="88">
        <v>130.37909999999999</v>
      </c>
      <c r="M645" s="88">
        <v>2.1137999999999999</v>
      </c>
      <c r="N645" s="88">
        <v>0.83299999999999996</v>
      </c>
      <c r="O645" s="88">
        <v>0</v>
      </c>
      <c r="P645" s="88">
        <v>538.74770000000012</v>
      </c>
    </row>
    <row r="646" spans="2:16" hidden="1">
      <c r="B646" s="79"/>
      <c r="C646" s="79"/>
      <c r="D646" s="81" t="s">
        <v>179</v>
      </c>
      <c r="E646" s="87">
        <v>2010</v>
      </c>
      <c r="F646" s="88">
        <v>0</v>
      </c>
      <c r="G646" s="88">
        <v>1.2502</v>
      </c>
      <c r="H646" s="88">
        <v>9.0245999999999995</v>
      </c>
      <c r="I646" s="88">
        <v>139.21720000000002</v>
      </c>
      <c r="J646" s="88">
        <v>100.38339999999997</v>
      </c>
      <c r="K646" s="88">
        <v>177.74540000000002</v>
      </c>
      <c r="L646" s="88">
        <v>120.39900000000002</v>
      </c>
      <c r="M646" s="88">
        <v>0</v>
      </c>
      <c r="N646" s="88">
        <v>1</v>
      </c>
      <c r="O646" s="88">
        <v>0</v>
      </c>
      <c r="P646" s="88">
        <v>549.01980000000003</v>
      </c>
    </row>
    <row r="647" spans="2:16" hidden="1">
      <c r="B647" s="79"/>
      <c r="C647" s="79"/>
      <c r="D647" s="81" t="s">
        <v>179</v>
      </c>
      <c r="E647" s="87">
        <v>2011</v>
      </c>
      <c r="F647" s="88">
        <v>3</v>
      </c>
      <c r="G647" s="88">
        <v>16.417000000000002</v>
      </c>
      <c r="H647" s="88">
        <v>41.101000000000006</v>
      </c>
      <c r="I647" s="88">
        <v>58.876899999999999</v>
      </c>
      <c r="J647" s="88">
        <v>154.11009999999996</v>
      </c>
      <c r="K647" s="88">
        <v>209.25740000000002</v>
      </c>
      <c r="L647" s="88">
        <v>100.68899999999999</v>
      </c>
      <c r="M647" s="88">
        <v>0</v>
      </c>
      <c r="N647" s="88">
        <v>1.4165000000000001</v>
      </c>
      <c r="O647" s="88">
        <v>0</v>
      </c>
      <c r="P647" s="88">
        <v>584.86790000000008</v>
      </c>
    </row>
    <row r="648" spans="2:16" hidden="1">
      <c r="B648" s="79"/>
      <c r="C648" s="79"/>
      <c r="D648" s="81" t="s">
        <v>179</v>
      </c>
      <c r="E648" s="82">
        <v>2012</v>
      </c>
      <c r="F648" s="83">
        <v>2</v>
      </c>
      <c r="G648" s="83">
        <v>6.9588000000000001</v>
      </c>
      <c r="H648" s="83">
        <v>22.580100000000002</v>
      </c>
      <c r="I648" s="83">
        <v>51.987599999999993</v>
      </c>
      <c r="J648" s="83">
        <v>189.88959999999997</v>
      </c>
      <c r="K648" s="83">
        <v>262.4676</v>
      </c>
      <c r="L648" s="83">
        <v>88.208799999999997</v>
      </c>
      <c r="M648" s="83">
        <v>5.25</v>
      </c>
      <c r="N648" s="83">
        <v>9.5936000000000003</v>
      </c>
      <c r="O648" s="83">
        <v>0</v>
      </c>
      <c r="P648" s="83">
        <v>638.93610000000001</v>
      </c>
    </row>
    <row r="649" spans="2:16" hidden="1">
      <c r="B649" s="79"/>
      <c r="C649" s="79"/>
      <c r="D649" s="77" t="s">
        <v>119</v>
      </c>
      <c r="E649" s="87">
        <v>2005</v>
      </c>
      <c r="F649" s="88">
        <v>50.583600000000004</v>
      </c>
      <c r="G649" s="88">
        <v>3099.5603999999953</v>
      </c>
      <c r="H649" s="88">
        <v>1198.9624000000001</v>
      </c>
      <c r="I649" s="88">
        <v>776.24449999999968</v>
      </c>
      <c r="J649" s="88">
        <v>1176.5612000000001</v>
      </c>
      <c r="K649" s="88">
        <v>1515.7613000000001</v>
      </c>
      <c r="L649" s="88">
        <v>82.293399999999977</v>
      </c>
      <c r="M649" s="88">
        <v>57.799600000000005</v>
      </c>
      <c r="N649" s="88">
        <v>6.1000000000000005</v>
      </c>
      <c r="O649" s="88">
        <v>0</v>
      </c>
      <c r="P649" s="88">
        <v>7963.8663999999953</v>
      </c>
    </row>
    <row r="650" spans="2:16" hidden="1">
      <c r="B650" s="79"/>
      <c r="C650" s="79"/>
      <c r="D650" s="81" t="s">
        <v>119</v>
      </c>
      <c r="E650" s="87">
        <v>2006</v>
      </c>
      <c r="F650" s="88">
        <v>80.486799999999988</v>
      </c>
      <c r="G650" s="88">
        <v>1294.5977999999986</v>
      </c>
      <c r="H650" s="88">
        <v>1409.9553999999985</v>
      </c>
      <c r="I650" s="88">
        <v>781.32120000000009</v>
      </c>
      <c r="J650" s="88">
        <v>1060.5307</v>
      </c>
      <c r="K650" s="88">
        <v>1431.7377000000001</v>
      </c>
      <c r="L650" s="88">
        <v>89.267599999999987</v>
      </c>
      <c r="M650" s="88">
        <v>58</v>
      </c>
      <c r="N650" s="88">
        <v>8.0821999999999985</v>
      </c>
      <c r="O650" s="88">
        <v>0</v>
      </c>
      <c r="P650" s="88">
        <v>6213.9793999999929</v>
      </c>
    </row>
    <row r="651" spans="2:16" hidden="1">
      <c r="B651" s="79"/>
      <c r="C651" s="79"/>
      <c r="D651" s="81" t="s">
        <v>119</v>
      </c>
      <c r="E651" s="87">
        <v>2007</v>
      </c>
      <c r="F651" s="88">
        <v>46.386099999999999</v>
      </c>
      <c r="G651" s="88">
        <v>1112.2684999999997</v>
      </c>
      <c r="H651" s="88">
        <v>1462.9256999999993</v>
      </c>
      <c r="I651" s="88">
        <v>785.36359999999979</v>
      </c>
      <c r="J651" s="88">
        <v>858.42070000000012</v>
      </c>
      <c r="K651" s="88">
        <v>1344.2736000000002</v>
      </c>
      <c r="L651" s="88">
        <v>109.256</v>
      </c>
      <c r="M651" s="88">
        <v>67.214799999999997</v>
      </c>
      <c r="N651" s="88">
        <v>15.582999999999998</v>
      </c>
      <c r="O651" s="88">
        <v>0</v>
      </c>
      <c r="P651" s="88">
        <v>5801.6919999999982</v>
      </c>
    </row>
    <row r="652" spans="2:16" hidden="1">
      <c r="B652" s="79"/>
      <c r="C652" s="79"/>
      <c r="D652" s="81" t="s">
        <v>119</v>
      </c>
      <c r="E652" s="87">
        <v>2008</v>
      </c>
      <c r="F652" s="88">
        <v>89.43940000000002</v>
      </c>
      <c r="G652" s="88">
        <v>961.17979999999932</v>
      </c>
      <c r="H652" s="88">
        <v>1635.9739</v>
      </c>
      <c r="I652" s="88">
        <v>1084.4863999999998</v>
      </c>
      <c r="J652" s="88">
        <v>957.52560000000005</v>
      </c>
      <c r="K652" s="88">
        <v>1405.3734999999995</v>
      </c>
      <c r="L652" s="88">
        <v>180.79499999999999</v>
      </c>
      <c r="M652" s="88">
        <v>65.421400000000006</v>
      </c>
      <c r="N652" s="88">
        <v>13.899499999999998</v>
      </c>
      <c r="O652" s="88">
        <v>0</v>
      </c>
      <c r="P652" s="88">
        <v>6394.0944999999965</v>
      </c>
    </row>
    <row r="653" spans="2:16" hidden="1">
      <c r="B653" s="79"/>
      <c r="C653" s="79"/>
      <c r="D653" s="81" t="s">
        <v>119</v>
      </c>
      <c r="E653" s="87">
        <v>2009</v>
      </c>
      <c r="F653" s="88">
        <v>128.4425</v>
      </c>
      <c r="G653" s="88">
        <v>928.03139999999996</v>
      </c>
      <c r="H653" s="88">
        <v>1353.5701999999992</v>
      </c>
      <c r="I653" s="88">
        <v>985.96669999999972</v>
      </c>
      <c r="J653" s="88">
        <v>910.61030000000005</v>
      </c>
      <c r="K653" s="88">
        <v>1652.3713000000005</v>
      </c>
      <c r="L653" s="88">
        <v>193.81</v>
      </c>
      <c r="M653" s="88">
        <v>63.953800000000001</v>
      </c>
      <c r="N653" s="88">
        <v>14.317500000000001</v>
      </c>
      <c r="O653" s="88">
        <v>0</v>
      </c>
      <c r="P653" s="88">
        <v>6231.0736999999963</v>
      </c>
    </row>
    <row r="654" spans="2:16" hidden="1">
      <c r="B654" s="79"/>
      <c r="C654" s="79"/>
      <c r="D654" s="81" t="s">
        <v>119</v>
      </c>
      <c r="E654" s="87">
        <v>2010</v>
      </c>
      <c r="F654" s="88">
        <v>24.997500000000002</v>
      </c>
      <c r="G654" s="88">
        <v>603.9027000000001</v>
      </c>
      <c r="H654" s="88">
        <v>1224.8392999999999</v>
      </c>
      <c r="I654" s="88">
        <v>1261.4458</v>
      </c>
      <c r="J654" s="88">
        <v>982.67270000000008</v>
      </c>
      <c r="K654" s="88">
        <v>1995.3437000000006</v>
      </c>
      <c r="L654" s="88">
        <v>187.69720000000001</v>
      </c>
      <c r="M654" s="88">
        <v>64.5</v>
      </c>
      <c r="N654" s="88">
        <v>15.6014</v>
      </c>
      <c r="O654" s="88">
        <v>0</v>
      </c>
      <c r="P654" s="88">
        <v>6361.0003000000024</v>
      </c>
    </row>
    <row r="655" spans="2:16" hidden="1">
      <c r="B655" s="79"/>
      <c r="C655" s="79"/>
      <c r="D655" s="81" t="s">
        <v>119</v>
      </c>
      <c r="E655" s="87">
        <v>2011</v>
      </c>
      <c r="F655" s="88">
        <v>22.914700000000003</v>
      </c>
      <c r="G655" s="88">
        <v>535.01050000000009</v>
      </c>
      <c r="H655" s="88">
        <v>1214.9960000000001</v>
      </c>
      <c r="I655" s="88">
        <v>979.44969999999989</v>
      </c>
      <c r="J655" s="88">
        <v>1075.5433000000003</v>
      </c>
      <c r="K655" s="88">
        <v>2336.0217000000007</v>
      </c>
      <c r="L655" s="88">
        <v>192.3776</v>
      </c>
      <c r="M655" s="88">
        <v>59.66</v>
      </c>
      <c r="N655" s="88">
        <v>19.2485</v>
      </c>
      <c r="O655" s="88">
        <v>0</v>
      </c>
      <c r="P655" s="88">
        <v>6435.2220000000016</v>
      </c>
    </row>
    <row r="656" spans="2:16" hidden="1">
      <c r="B656" s="79"/>
      <c r="C656" s="89"/>
      <c r="D656" s="81" t="s">
        <v>119</v>
      </c>
      <c r="E656" s="82">
        <v>2012</v>
      </c>
      <c r="F656" s="83">
        <v>36.997700000000009</v>
      </c>
      <c r="G656" s="83">
        <v>487.29150000000004</v>
      </c>
      <c r="H656" s="83">
        <v>976.78840000000014</v>
      </c>
      <c r="I656" s="83">
        <v>972.10969999999998</v>
      </c>
      <c r="J656" s="83">
        <v>1104.4022999999997</v>
      </c>
      <c r="K656" s="83">
        <v>2504.4066000000003</v>
      </c>
      <c r="L656" s="83">
        <v>145.97980000000001</v>
      </c>
      <c r="M656" s="83">
        <v>76.59</v>
      </c>
      <c r="N656" s="83">
        <v>28.234299999999998</v>
      </c>
      <c r="O656" s="83">
        <v>0</v>
      </c>
      <c r="P656" s="83">
        <v>6332.8003000000026</v>
      </c>
    </row>
    <row r="657" spans="2:16" hidden="1">
      <c r="B657" s="79"/>
      <c r="C657" s="76" t="s">
        <v>199</v>
      </c>
      <c r="D657" s="77" t="s">
        <v>179</v>
      </c>
      <c r="E657" s="85">
        <v>2005</v>
      </c>
      <c r="F657" s="86">
        <v>3215.2232999999969</v>
      </c>
      <c r="G657" s="86">
        <v>422.72399999999971</v>
      </c>
      <c r="H657" s="86">
        <v>282.03319999999991</v>
      </c>
      <c r="I657" s="86">
        <v>1431.405300000009</v>
      </c>
      <c r="J657" s="86">
        <v>2115.7328000000075</v>
      </c>
      <c r="K657" s="86">
        <v>964.69510000000218</v>
      </c>
      <c r="L657" s="86">
        <v>32.731400000000001</v>
      </c>
      <c r="M657" s="86">
        <v>0</v>
      </c>
      <c r="N657" s="86">
        <v>0</v>
      </c>
      <c r="O657" s="86">
        <v>0</v>
      </c>
      <c r="P657" s="86">
        <v>8464.5450999998775</v>
      </c>
    </row>
    <row r="658" spans="2:16" hidden="1">
      <c r="B658" s="79"/>
      <c r="C658" s="79"/>
      <c r="D658" s="81" t="s">
        <v>180</v>
      </c>
      <c r="E658" s="87">
        <v>2006</v>
      </c>
      <c r="F658" s="88">
        <v>2086.5308999999997</v>
      </c>
      <c r="G658" s="88">
        <v>542.69830000000161</v>
      </c>
      <c r="H658" s="88">
        <v>363.96309999999988</v>
      </c>
      <c r="I658" s="88">
        <v>1303.5766000000067</v>
      </c>
      <c r="J658" s="88">
        <v>2047.716300000005</v>
      </c>
      <c r="K658" s="88">
        <v>917.67330000000175</v>
      </c>
      <c r="L658" s="88">
        <v>43.737799999999993</v>
      </c>
      <c r="M658" s="88">
        <v>0</v>
      </c>
      <c r="N658" s="88">
        <v>0</v>
      </c>
      <c r="O658" s="88">
        <v>0</v>
      </c>
      <c r="P658" s="88">
        <v>7305.8962999999194</v>
      </c>
    </row>
    <row r="659" spans="2:16" hidden="1">
      <c r="B659" s="79"/>
      <c r="C659" s="79"/>
      <c r="D659" s="81" t="s">
        <v>180</v>
      </c>
      <c r="E659" s="87">
        <v>2007</v>
      </c>
      <c r="F659" s="88">
        <v>1414.2868000000017</v>
      </c>
      <c r="G659" s="88">
        <v>874.70050000000242</v>
      </c>
      <c r="H659" s="88">
        <v>326.39460000000059</v>
      </c>
      <c r="I659" s="88">
        <v>1345.6914000000022</v>
      </c>
      <c r="J659" s="88">
        <v>2236.2130000000056</v>
      </c>
      <c r="K659" s="88">
        <v>812.42730000000154</v>
      </c>
      <c r="L659" s="88">
        <v>49.837099999999992</v>
      </c>
      <c r="M659" s="88">
        <v>0</v>
      </c>
      <c r="N659" s="88">
        <v>0</v>
      </c>
      <c r="O659" s="88">
        <v>0</v>
      </c>
      <c r="P659" s="88">
        <v>7059.550700000008</v>
      </c>
    </row>
    <row r="660" spans="2:16" hidden="1">
      <c r="B660" s="79"/>
      <c r="C660" s="79"/>
      <c r="D660" s="81" t="s">
        <v>180</v>
      </c>
      <c r="E660" s="87">
        <v>2008</v>
      </c>
      <c r="F660" s="88">
        <v>17.125299999999996</v>
      </c>
      <c r="G660" s="88">
        <v>619.53049999999996</v>
      </c>
      <c r="H660" s="88">
        <v>292.68119999999988</v>
      </c>
      <c r="I660" s="88">
        <v>1084.1385000000064</v>
      </c>
      <c r="J660" s="88">
        <v>2153.4263000000042</v>
      </c>
      <c r="K660" s="88">
        <v>807.31230000000153</v>
      </c>
      <c r="L660" s="88">
        <v>39.586500000000001</v>
      </c>
      <c r="M660" s="88">
        <v>0</v>
      </c>
      <c r="N660" s="88">
        <v>0</v>
      </c>
      <c r="O660" s="88">
        <v>0</v>
      </c>
      <c r="P660" s="88">
        <v>5013.800599999985</v>
      </c>
    </row>
    <row r="661" spans="2:16" hidden="1">
      <c r="B661" s="79"/>
      <c r="C661" s="79"/>
      <c r="D661" s="81" t="s">
        <v>180</v>
      </c>
      <c r="E661" s="87">
        <v>2009</v>
      </c>
      <c r="F661" s="88">
        <v>4.4331999999999994</v>
      </c>
      <c r="G661" s="88">
        <v>682.79389999999944</v>
      </c>
      <c r="H661" s="88">
        <v>341.94159999999999</v>
      </c>
      <c r="I661" s="88">
        <v>1438.6862000000058</v>
      </c>
      <c r="J661" s="88">
        <v>2349.627600000003</v>
      </c>
      <c r="K661" s="88">
        <v>956.41830000000186</v>
      </c>
      <c r="L661" s="88">
        <v>49.83479999999998</v>
      </c>
      <c r="M661" s="88">
        <v>0</v>
      </c>
      <c r="N661" s="88">
        <v>0</v>
      </c>
      <c r="O661" s="88">
        <v>0</v>
      </c>
      <c r="P661" s="88">
        <v>5823.73559999998</v>
      </c>
    </row>
    <row r="662" spans="2:16" hidden="1">
      <c r="B662" s="79"/>
      <c r="C662" s="79"/>
      <c r="D662" s="81" t="s">
        <v>180</v>
      </c>
      <c r="E662" s="87">
        <v>2010</v>
      </c>
      <c r="F662" s="88">
        <v>401.31790000000001</v>
      </c>
      <c r="G662" s="88">
        <v>715.77930000000083</v>
      </c>
      <c r="H662" s="88">
        <v>467.65939999999995</v>
      </c>
      <c r="I662" s="88">
        <v>1484.8821000000009</v>
      </c>
      <c r="J662" s="88">
        <v>2530.4101999999998</v>
      </c>
      <c r="K662" s="88">
        <v>1007.0568999999994</v>
      </c>
      <c r="L662" s="88">
        <v>49.348500000000008</v>
      </c>
      <c r="M662" s="88">
        <v>0</v>
      </c>
      <c r="N662" s="88">
        <v>0</v>
      </c>
      <c r="O662" s="88">
        <v>0</v>
      </c>
      <c r="P662" s="88">
        <v>6656.454299999964</v>
      </c>
    </row>
    <row r="663" spans="2:16" hidden="1">
      <c r="B663" s="79"/>
      <c r="C663" s="79"/>
      <c r="D663" s="81" t="s">
        <v>180</v>
      </c>
      <c r="E663" s="87">
        <v>2011</v>
      </c>
      <c r="F663" s="88">
        <v>410.46490000000017</v>
      </c>
      <c r="G663" s="88">
        <v>755.34920000000011</v>
      </c>
      <c r="H663" s="88">
        <v>402.74099999999981</v>
      </c>
      <c r="I663" s="88">
        <v>1242.7184000000025</v>
      </c>
      <c r="J663" s="88">
        <v>1853.3370000000034</v>
      </c>
      <c r="K663" s="88">
        <v>1222.8210000000006</v>
      </c>
      <c r="L663" s="88">
        <v>48.728400000000001</v>
      </c>
      <c r="M663" s="88">
        <v>0</v>
      </c>
      <c r="N663" s="88">
        <v>0</v>
      </c>
      <c r="O663" s="88">
        <v>0</v>
      </c>
      <c r="P663" s="88">
        <v>5936.1598999999778</v>
      </c>
    </row>
    <row r="664" spans="2:16" hidden="1">
      <c r="B664" s="79"/>
      <c r="C664" s="79"/>
      <c r="D664" s="81" t="s">
        <v>180</v>
      </c>
      <c r="E664" s="82">
        <v>2012</v>
      </c>
      <c r="F664" s="83">
        <v>537.71820000000002</v>
      </c>
      <c r="G664" s="83">
        <v>316.63130000000007</v>
      </c>
      <c r="H664" s="83">
        <v>690.33079999999984</v>
      </c>
      <c r="I664" s="83">
        <v>1509.2975000000024</v>
      </c>
      <c r="J664" s="83">
        <v>1543.8659000000021</v>
      </c>
      <c r="K664" s="83">
        <v>1371.8666000000007</v>
      </c>
      <c r="L664" s="83">
        <v>55.037300000000009</v>
      </c>
      <c r="M664" s="83">
        <v>0</v>
      </c>
      <c r="N664" s="83">
        <v>0</v>
      </c>
      <c r="O664" s="83">
        <v>0</v>
      </c>
      <c r="P664" s="83">
        <v>6024.7475999999815</v>
      </c>
    </row>
    <row r="665" spans="2:16" hidden="1">
      <c r="B665" s="79"/>
      <c r="C665" s="79"/>
      <c r="D665" s="77" t="s">
        <v>180</v>
      </c>
      <c r="E665" s="87">
        <v>2005</v>
      </c>
      <c r="F665" s="88">
        <v>0.37590000000000001</v>
      </c>
      <c r="G665" s="88">
        <v>1.7600000000000002</v>
      </c>
      <c r="H665" s="88">
        <v>1.3212999999999999</v>
      </c>
      <c r="I665" s="88">
        <v>13.290099999999999</v>
      </c>
      <c r="J665" s="88">
        <v>151.05940000000001</v>
      </c>
      <c r="K665" s="88">
        <v>24.328400000000006</v>
      </c>
      <c r="L665" s="88">
        <v>3.0567000000000002</v>
      </c>
      <c r="M665" s="88">
        <v>0</v>
      </c>
      <c r="N665" s="88">
        <v>0</v>
      </c>
      <c r="O665" s="88">
        <v>0</v>
      </c>
      <c r="P665" s="88">
        <v>195.19180000000009</v>
      </c>
    </row>
    <row r="666" spans="2:16" hidden="1">
      <c r="B666" s="79"/>
      <c r="C666" s="79"/>
      <c r="D666" s="81" t="s">
        <v>179</v>
      </c>
      <c r="E666" s="87">
        <v>2006</v>
      </c>
      <c r="F666" s="88">
        <v>1.5E-3</v>
      </c>
      <c r="G666" s="88">
        <v>1.2036999999999998</v>
      </c>
      <c r="H666" s="88">
        <v>2.6520000000000006</v>
      </c>
      <c r="I666" s="88">
        <v>13.0131</v>
      </c>
      <c r="J666" s="88">
        <v>84.1297</v>
      </c>
      <c r="K666" s="88">
        <v>17.912099999999999</v>
      </c>
      <c r="L666" s="88">
        <v>3.2090000000000001</v>
      </c>
      <c r="M666" s="88">
        <v>0</v>
      </c>
      <c r="N666" s="88">
        <v>0</v>
      </c>
      <c r="O666" s="88">
        <v>0</v>
      </c>
      <c r="P666" s="88">
        <v>122.12109999999997</v>
      </c>
    </row>
    <row r="667" spans="2:16" hidden="1">
      <c r="B667" s="79"/>
      <c r="C667" s="79"/>
      <c r="D667" s="81" t="s">
        <v>179</v>
      </c>
      <c r="E667" s="87">
        <v>2007</v>
      </c>
      <c r="F667" s="88">
        <v>0</v>
      </c>
      <c r="G667" s="88">
        <v>4.3911000000000007</v>
      </c>
      <c r="H667" s="88">
        <v>1.7313999999999998</v>
      </c>
      <c r="I667" s="88">
        <v>13.248700000000003</v>
      </c>
      <c r="J667" s="88">
        <v>22.148199999999999</v>
      </c>
      <c r="K667" s="88">
        <v>12.3164</v>
      </c>
      <c r="L667" s="88">
        <v>1.917</v>
      </c>
      <c r="M667" s="88">
        <v>0</v>
      </c>
      <c r="N667" s="88">
        <v>0</v>
      </c>
      <c r="O667" s="88">
        <v>0</v>
      </c>
      <c r="P667" s="88">
        <v>55.752799999999993</v>
      </c>
    </row>
    <row r="668" spans="2:16" hidden="1">
      <c r="B668" s="79"/>
      <c r="C668" s="79"/>
      <c r="D668" s="81" t="s">
        <v>179</v>
      </c>
      <c r="E668" s="87">
        <v>2008</v>
      </c>
      <c r="F668" s="88">
        <v>0</v>
      </c>
      <c r="G668" s="88">
        <v>2.3645</v>
      </c>
      <c r="H668" s="88">
        <v>4.8688000000000002</v>
      </c>
      <c r="I668" s="88">
        <v>12.769300000000001</v>
      </c>
      <c r="J668" s="88">
        <v>11.836500000000001</v>
      </c>
      <c r="K668" s="88">
        <v>8.6834000000000007</v>
      </c>
      <c r="L668" s="88">
        <v>1.2927</v>
      </c>
      <c r="M668" s="88">
        <v>0</v>
      </c>
      <c r="N668" s="88">
        <v>0</v>
      </c>
      <c r="O668" s="88">
        <v>0</v>
      </c>
      <c r="P668" s="88">
        <v>41.815199999999997</v>
      </c>
    </row>
    <row r="669" spans="2:16" hidden="1">
      <c r="B669" s="79"/>
      <c r="C669" s="79"/>
      <c r="D669" s="81" t="s">
        <v>179</v>
      </c>
      <c r="E669" s="87">
        <v>2009</v>
      </c>
      <c r="F669" s="88">
        <v>0</v>
      </c>
      <c r="G669" s="88">
        <v>1.1243000000000001</v>
      </c>
      <c r="H669" s="88">
        <v>4.3878000000000004</v>
      </c>
      <c r="I669" s="88">
        <v>10.169500000000003</v>
      </c>
      <c r="J669" s="88">
        <v>7.6559999999999997</v>
      </c>
      <c r="K669" s="88">
        <v>9.2673000000000023</v>
      </c>
      <c r="L669" s="88">
        <v>0.58400000000000007</v>
      </c>
      <c r="M669" s="88">
        <v>0</v>
      </c>
      <c r="N669" s="88">
        <v>0</v>
      </c>
      <c r="O669" s="88">
        <v>0</v>
      </c>
      <c r="P669" s="88">
        <v>33.188900000000004</v>
      </c>
    </row>
    <row r="670" spans="2:16" hidden="1">
      <c r="B670" s="79"/>
      <c r="C670" s="79"/>
      <c r="D670" s="81" t="s">
        <v>179</v>
      </c>
      <c r="E670" s="87">
        <v>2010</v>
      </c>
      <c r="F670" s="88">
        <v>0</v>
      </c>
      <c r="G670" s="88">
        <v>0.81149999999999989</v>
      </c>
      <c r="H670" s="88">
        <v>4.2177000000000007</v>
      </c>
      <c r="I670" s="88">
        <v>11.3612</v>
      </c>
      <c r="J670" s="88">
        <v>6.1279000000000003</v>
      </c>
      <c r="K670" s="88">
        <v>7.6277999999999997</v>
      </c>
      <c r="L670" s="88">
        <v>0</v>
      </c>
      <c r="M670" s="88">
        <v>0</v>
      </c>
      <c r="N670" s="88">
        <v>0</v>
      </c>
      <c r="O670" s="88">
        <v>0</v>
      </c>
      <c r="P670" s="88">
        <v>30.146099999999997</v>
      </c>
    </row>
    <row r="671" spans="2:16" hidden="1">
      <c r="B671" s="79"/>
      <c r="C671" s="79"/>
      <c r="D671" s="81" t="s">
        <v>179</v>
      </c>
      <c r="E671" s="87">
        <v>2011</v>
      </c>
      <c r="F671" s="88">
        <v>0</v>
      </c>
      <c r="G671" s="88">
        <v>0.71780000000000022</v>
      </c>
      <c r="H671" s="88">
        <v>4.6548000000000007</v>
      </c>
      <c r="I671" s="88">
        <v>5.6273999999999997</v>
      </c>
      <c r="J671" s="88">
        <v>7.1540999999999997</v>
      </c>
      <c r="K671" s="88">
        <v>4.7789999999999999</v>
      </c>
      <c r="L671" s="88">
        <v>0.44440000000000002</v>
      </c>
      <c r="M671" s="88">
        <v>0</v>
      </c>
      <c r="N671" s="88">
        <v>0</v>
      </c>
      <c r="O671" s="88">
        <v>0</v>
      </c>
      <c r="P671" s="88">
        <v>23.377500000000005</v>
      </c>
    </row>
    <row r="672" spans="2:16" hidden="1">
      <c r="B672" s="79"/>
      <c r="C672" s="79"/>
      <c r="D672" s="81" t="s">
        <v>179</v>
      </c>
      <c r="E672" s="82">
        <v>2012</v>
      </c>
      <c r="F672" s="83">
        <v>0</v>
      </c>
      <c r="G672" s="83">
        <v>1E-4</v>
      </c>
      <c r="H672" s="83">
        <v>1.6932000000000003</v>
      </c>
      <c r="I672" s="83">
        <v>5.2467000000000006</v>
      </c>
      <c r="J672" s="83">
        <v>14.4847</v>
      </c>
      <c r="K672" s="83">
        <v>4.3341999999999992</v>
      </c>
      <c r="L672" s="83">
        <v>5.7767999999999988</v>
      </c>
      <c r="M672" s="83">
        <v>0</v>
      </c>
      <c r="N672" s="83">
        <v>0</v>
      </c>
      <c r="O672" s="83">
        <v>0</v>
      </c>
      <c r="P672" s="83">
        <v>31.535699999999999</v>
      </c>
    </row>
    <row r="673" spans="2:16" hidden="1">
      <c r="B673" s="79"/>
      <c r="C673" s="79"/>
      <c r="D673" s="77" t="s">
        <v>119</v>
      </c>
      <c r="E673" s="87">
        <v>2005</v>
      </c>
      <c r="F673" s="88">
        <v>3215.5991999999969</v>
      </c>
      <c r="G673" s="88">
        <v>424.4839999999997</v>
      </c>
      <c r="H673" s="88">
        <v>283.35449999999992</v>
      </c>
      <c r="I673" s="88">
        <v>1444.6954000000089</v>
      </c>
      <c r="J673" s="88">
        <v>2266.7922000000076</v>
      </c>
      <c r="K673" s="88">
        <v>989.02350000000217</v>
      </c>
      <c r="L673" s="88">
        <v>35.7881</v>
      </c>
      <c r="M673" s="88">
        <v>0</v>
      </c>
      <c r="N673" s="88">
        <v>0</v>
      </c>
      <c r="O673" s="88">
        <v>0</v>
      </c>
      <c r="P673" s="88">
        <v>8659.736899999878</v>
      </c>
    </row>
    <row r="674" spans="2:16" hidden="1">
      <c r="B674" s="79"/>
      <c r="C674" s="79"/>
      <c r="D674" s="81" t="s">
        <v>119</v>
      </c>
      <c r="E674" s="87">
        <v>2006</v>
      </c>
      <c r="F674" s="88">
        <v>2086.5323999999996</v>
      </c>
      <c r="G674" s="88">
        <v>543.90200000000164</v>
      </c>
      <c r="H674" s="88">
        <v>366.61509999999987</v>
      </c>
      <c r="I674" s="88">
        <v>1316.5897000000066</v>
      </c>
      <c r="J674" s="88">
        <v>2131.846000000005</v>
      </c>
      <c r="K674" s="88">
        <v>935.58540000000175</v>
      </c>
      <c r="L674" s="88">
        <v>46.946799999999996</v>
      </c>
      <c r="M674" s="88">
        <v>0</v>
      </c>
      <c r="N674" s="88">
        <v>0</v>
      </c>
      <c r="O674" s="88">
        <v>0</v>
      </c>
      <c r="P674" s="88">
        <v>7428.0173999999197</v>
      </c>
    </row>
    <row r="675" spans="2:16" hidden="1">
      <c r="B675" s="79"/>
      <c r="C675" s="79"/>
      <c r="D675" s="81" t="s">
        <v>119</v>
      </c>
      <c r="E675" s="87">
        <v>2007</v>
      </c>
      <c r="F675" s="88">
        <v>1414.2868000000017</v>
      </c>
      <c r="G675" s="88">
        <v>879.09160000000247</v>
      </c>
      <c r="H675" s="88">
        <v>328.1260000000006</v>
      </c>
      <c r="I675" s="88">
        <v>1358.9401000000023</v>
      </c>
      <c r="J675" s="88">
        <v>2258.3612000000057</v>
      </c>
      <c r="K675" s="88">
        <v>824.74370000000158</v>
      </c>
      <c r="L675" s="88">
        <v>51.754099999999994</v>
      </c>
      <c r="M675" s="88">
        <v>0</v>
      </c>
      <c r="N675" s="88">
        <v>0</v>
      </c>
      <c r="O675" s="88">
        <v>0</v>
      </c>
      <c r="P675" s="88">
        <v>7115.3035000000082</v>
      </c>
    </row>
    <row r="676" spans="2:16" hidden="1">
      <c r="B676" s="79"/>
      <c r="C676" s="79"/>
      <c r="D676" s="81" t="s">
        <v>119</v>
      </c>
      <c r="E676" s="87">
        <v>2008</v>
      </c>
      <c r="F676" s="88">
        <v>17.125299999999996</v>
      </c>
      <c r="G676" s="88">
        <v>621.89499999999998</v>
      </c>
      <c r="H676" s="88">
        <v>297.5499999999999</v>
      </c>
      <c r="I676" s="88">
        <v>1096.9078000000063</v>
      </c>
      <c r="J676" s="88">
        <v>2165.2628000000041</v>
      </c>
      <c r="K676" s="88">
        <v>815.99570000000153</v>
      </c>
      <c r="L676" s="88">
        <v>40.879199999999997</v>
      </c>
      <c r="M676" s="88">
        <v>0</v>
      </c>
      <c r="N676" s="88">
        <v>0</v>
      </c>
      <c r="O676" s="88">
        <v>0</v>
      </c>
      <c r="P676" s="88">
        <v>5055.615799999985</v>
      </c>
    </row>
    <row r="677" spans="2:16" hidden="1">
      <c r="B677" s="79"/>
      <c r="C677" s="79"/>
      <c r="D677" s="81" t="s">
        <v>119</v>
      </c>
      <c r="E677" s="87">
        <v>2009</v>
      </c>
      <c r="F677" s="88">
        <v>4.4331999999999994</v>
      </c>
      <c r="G677" s="88">
        <v>683.91819999999939</v>
      </c>
      <c r="H677" s="88">
        <v>346.32940000000002</v>
      </c>
      <c r="I677" s="88">
        <v>1448.8557000000058</v>
      </c>
      <c r="J677" s="88">
        <v>2357.2836000000029</v>
      </c>
      <c r="K677" s="88">
        <v>965.68560000000184</v>
      </c>
      <c r="L677" s="88">
        <v>50.418799999999983</v>
      </c>
      <c r="M677" s="88">
        <v>0</v>
      </c>
      <c r="N677" s="88">
        <v>0</v>
      </c>
      <c r="O677" s="88">
        <v>0</v>
      </c>
      <c r="P677" s="88">
        <v>5856.9244999999801</v>
      </c>
    </row>
    <row r="678" spans="2:16" hidden="1">
      <c r="B678" s="79"/>
      <c r="C678" s="79"/>
      <c r="D678" s="81" t="s">
        <v>119</v>
      </c>
      <c r="E678" s="87">
        <v>2010</v>
      </c>
      <c r="F678" s="88">
        <v>401.31790000000001</v>
      </c>
      <c r="G678" s="88">
        <v>716.59080000000085</v>
      </c>
      <c r="H678" s="88">
        <v>471.87709999999993</v>
      </c>
      <c r="I678" s="88">
        <v>1496.243300000001</v>
      </c>
      <c r="J678" s="88">
        <v>2536.5380999999998</v>
      </c>
      <c r="K678" s="88">
        <v>1014.6846999999993</v>
      </c>
      <c r="L678" s="88">
        <v>49.348500000000008</v>
      </c>
      <c r="M678" s="88">
        <v>0</v>
      </c>
      <c r="N678" s="88">
        <v>0</v>
      </c>
      <c r="O678" s="88">
        <v>0</v>
      </c>
      <c r="P678" s="88">
        <v>6686.6003999999639</v>
      </c>
    </row>
    <row r="679" spans="2:16" hidden="1">
      <c r="B679" s="79"/>
      <c r="C679" s="79"/>
      <c r="D679" s="81" t="s">
        <v>119</v>
      </c>
      <c r="E679" s="87">
        <v>2011</v>
      </c>
      <c r="F679" s="88">
        <v>410.46490000000017</v>
      </c>
      <c r="G679" s="88">
        <v>756.06700000000012</v>
      </c>
      <c r="H679" s="88">
        <v>407.39579999999984</v>
      </c>
      <c r="I679" s="88">
        <v>1248.3458000000026</v>
      </c>
      <c r="J679" s="88">
        <v>1860.4911000000034</v>
      </c>
      <c r="K679" s="88">
        <v>1227.6000000000006</v>
      </c>
      <c r="L679" s="88">
        <v>49.172800000000002</v>
      </c>
      <c r="M679" s="88">
        <v>0</v>
      </c>
      <c r="N679" s="88">
        <v>0</v>
      </c>
      <c r="O679" s="88">
        <v>0</v>
      </c>
      <c r="P679" s="88">
        <v>5959.5373999999774</v>
      </c>
    </row>
    <row r="680" spans="2:16" hidden="1">
      <c r="B680" s="79"/>
      <c r="C680" s="89"/>
      <c r="D680" s="81" t="s">
        <v>119</v>
      </c>
      <c r="E680" s="82">
        <v>2012</v>
      </c>
      <c r="F680" s="83">
        <v>537.71820000000002</v>
      </c>
      <c r="G680" s="83">
        <v>316.63140000000004</v>
      </c>
      <c r="H680" s="83">
        <v>692.02399999999989</v>
      </c>
      <c r="I680" s="83">
        <v>1514.5442000000023</v>
      </c>
      <c r="J680" s="83">
        <v>1558.350600000002</v>
      </c>
      <c r="K680" s="83">
        <v>1376.2008000000008</v>
      </c>
      <c r="L680" s="83">
        <v>60.81410000000001</v>
      </c>
      <c r="M680" s="83">
        <v>0</v>
      </c>
      <c r="N680" s="83">
        <v>0</v>
      </c>
      <c r="O680" s="83">
        <v>0</v>
      </c>
      <c r="P680" s="83">
        <v>6056.2832999999819</v>
      </c>
    </row>
    <row r="681" spans="2:16" hidden="1">
      <c r="B681" s="79"/>
      <c r="C681" s="76" t="s">
        <v>200</v>
      </c>
      <c r="D681" s="77" t="s">
        <v>179</v>
      </c>
      <c r="E681" s="85">
        <v>2005</v>
      </c>
      <c r="F681" s="86">
        <v>92.398399999999995</v>
      </c>
      <c r="G681" s="86">
        <v>178.75659999999996</v>
      </c>
      <c r="H681" s="86">
        <v>1015.330100000001</v>
      </c>
      <c r="I681" s="86">
        <v>746.26489999999853</v>
      </c>
      <c r="J681" s="86">
        <v>565.37620000000015</v>
      </c>
      <c r="K681" s="86">
        <v>0</v>
      </c>
      <c r="L681" s="86">
        <v>0</v>
      </c>
      <c r="M681" s="86">
        <v>0</v>
      </c>
      <c r="N681" s="86">
        <v>0</v>
      </c>
      <c r="O681" s="86">
        <v>0</v>
      </c>
      <c r="P681" s="86">
        <v>2598.1261999999979</v>
      </c>
    </row>
    <row r="682" spans="2:16" hidden="1">
      <c r="B682" s="79"/>
      <c r="C682" s="79"/>
      <c r="D682" s="81" t="s">
        <v>180</v>
      </c>
      <c r="E682" s="87">
        <v>2006</v>
      </c>
      <c r="F682" s="88">
        <v>98.867999999999952</v>
      </c>
      <c r="G682" s="88">
        <v>187.0942</v>
      </c>
      <c r="H682" s="88">
        <v>1152.6617999999996</v>
      </c>
      <c r="I682" s="88">
        <v>554.11370000000011</v>
      </c>
      <c r="J682" s="88">
        <v>594.88770000000022</v>
      </c>
      <c r="K682" s="88">
        <v>0</v>
      </c>
      <c r="L682" s="88">
        <v>0</v>
      </c>
      <c r="M682" s="88">
        <v>0</v>
      </c>
      <c r="N682" s="88">
        <v>0</v>
      </c>
      <c r="O682" s="88">
        <v>0</v>
      </c>
      <c r="P682" s="88">
        <v>2587.6253999999967</v>
      </c>
    </row>
    <row r="683" spans="2:16" hidden="1">
      <c r="B683" s="79"/>
      <c r="C683" s="79"/>
      <c r="D683" s="81" t="s">
        <v>180</v>
      </c>
      <c r="E683" s="87">
        <v>2007</v>
      </c>
      <c r="F683" s="88">
        <v>102.61259999999994</v>
      </c>
      <c r="G683" s="88">
        <v>324.27869999999984</v>
      </c>
      <c r="H683" s="88">
        <v>978.58530000000087</v>
      </c>
      <c r="I683" s="88">
        <v>807.02100000000007</v>
      </c>
      <c r="J683" s="88">
        <v>489.41860000000003</v>
      </c>
      <c r="K683" s="88">
        <v>0</v>
      </c>
      <c r="L683" s="88">
        <v>0</v>
      </c>
      <c r="M683" s="88">
        <v>0</v>
      </c>
      <c r="N683" s="88">
        <v>0</v>
      </c>
      <c r="O683" s="88">
        <v>0</v>
      </c>
      <c r="P683" s="88">
        <v>2701.9161999999933</v>
      </c>
    </row>
    <row r="684" spans="2:16" hidden="1">
      <c r="B684" s="79"/>
      <c r="C684" s="79"/>
      <c r="D684" s="81" t="s">
        <v>180</v>
      </c>
      <c r="E684" s="87">
        <v>2008</v>
      </c>
      <c r="F684" s="88">
        <v>133.28489999999988</v>
      </c>
      <c r="G684" s="88">
        <v>266.06400000000008</v>
      </c>
      <c r="H684" s="88">
        <v>578.30519999999967</v>
      </c>
      <c r="I684" s="88">
        <v>759.89300000000026</v>
      </c>
      <c r="J684" s="88">
        <v>467.26289999999995</v>
      </c>
      <c r="K684" s="88">
        <v>0</v>
      </c>
      <c r="L684" s="88">
        <v>0</v>
      </c>
      <c r="M684" s="88">
        <v>0</v>
      </c>
      <c r="N684" s="88">
        <v>0</v>
      </c>
      <c r="O684" s="88">
        <v>0</v>
      </c>
      <c r="P684" s="88">
        <v>2204.81</v>
      </c>
    </row>
    <row r="685" spans="2:16" hidden="1">
      <c r="B685" s="79"/>
      <c r="C685" s="79"/>
      <c r="D685" s="81" t="s">
        <v>180</v>
      </c>
      <c r="E685" s="87">
        <v>2009</v>
      </c>
      <c r="F685" s="88">
        <v>117.71879999999999</v>
      </c>
      <c r="G685" s="88">
        <v>261.55610000000001</v>
      </c>
      <c r="H685" s="88">
        <v>694.63140000000021</v>
      </c>
      <c r="I685" s="88">
        <v>489.01709999999997</v>
      </c>
      <c r="J685" s="88">
        <v>575.75180000000012</v>
      </c>
      <c r="K685" s="88">
        <v>0</v>
      </c>
      <c r="L685" s="88">
        <v>0</v>
      </c>
      <c r="M685" s="88">
        <v>0</v>
      </c>
      <c r="N685" s="88">
        <v>0</v>
      </c>
      <c r="O685" s="88">
        <v>0</v>
      </c>
      <c r="P685" s="88">
        <v>2138.6751999999997</v>
      </c>
    </row>
    <row r="686" spans="2:16" hidden="1">
      <c r="B686" s="79"/>
      <c r="C686" s="79"/>
      <c r="D686" s="81" t="s">
        <v>180</v>
      </c>
      <c r="E686" s="87">
        <v>2010</v>
      </c>
      <c r="F686" s="88">
        <v>11.691299999999998</v>
      </c>
      <c r="G686" s="88">
        <v>299.42080000000016</v>
      </c>
      <c r="H686" s="88">
        <v>1009.512300000001</v>
      </c>
      <c r="I686" s="88">
        <v>422.17530000000011</v>
      </c>
      <c r="J686" s="88">
        <v>500.10709999999983</v>
      </c>
      <c r="K686" s="88">
        <v>0</v>
      </c>
      <c r="L686" s="88">
        <v>0</v>
      </c>
      <c r="M686" s="88">
        <v>0</v>
      </c>
      <c r="N686" s="88">
        <v>0</v>
      </c>
      <c r="O686" s="88">
        <v>0</v>
      </c>
      <c r="P686" s="88">
        <v>2242.9068000000016</v>
      </c>
    </row>
    <row r="687" spans="2:16" hidden="1">
      <c r="B687" s="79"/>
      <c r="C687" s="79"/>
      <c r="D687" s="81" t="s">
        <v>180</v>
      </c>
      <c r="E687" s="87">
        <v>2011</v>
      </c>
      <c r="F687" s="88">
        <v>107.72979999999998</v>
      </c>
      <c r="G687" s="88">
        <v>241.2499</v>
      </c>
      <c r="H687" s="88">
        <v>797.95740000000012</v>
      </c>
      <c r="I687" s="88">
        <v>478.20639999999986</v>
      </c>
      <c r="J687" s="88">
        <v>535.59150000000011</v>
      </c>
      <c r="K687" s="88">
        <v>0</v>
      </c>
      <c r="L687" s="88">
        <v>0</v>
      </c>
      <c r="M687" s="88">
        <v>0</v>
      </c>
      <c r="N687" s="88">
        <v>0</v>
      </c>
      <c r="O687" s="88">
        <v>0</v>
      </c>
      <c r="P687" s="88">
        <v>2160.7350000000019</v>
      </c>
    </row>
    <row r="688" spans="2:16" hidden="1">
      <c r="B688" s="79"/>
      <c r="C688" s="79"/>
      <c r="D688" s="81" t="s">
        <v>180</v>
      </c>
      <c r="E688" s="82">
        <v>2012</v>
      </c>
      <c r="F688" s="83">
        <v>181.3751000000002</v>
      </c>
      <c r="G688" s="83">
        <v>221.06800000000004</v>
      </c>
      <c r="H688" s="83">
        <v>1036.7847000000004</v>
      </c>
      <c r="I688" s="83">
        <v>527.9479</v>
      </c>
      <c r="J688" s="83">
        <v>356.46439999999984</v>
      </c>
      <c r="K688" s="83">
        <v>0</v>
      </c>
      <c r="L688" s="83">
        <v>0</v>
      </c>
      <c r="M688" s="83">
        <v>0</v>
      </c>
      <c r="N688" s="83">
        <v>0</v>
      </c>
      <c r="O688" s="83">
        <v>0</v>
      </c>
      <c r="P688" s="83">
        <v>2323.6401000000019</v>
      </c>
    </row>
    <row r="689" spans="2:16" hidden="1">
      <c r="B689" s="79"/>
      <c r="C689" s="79"/>
      <c r="D689" s="77" t="s">
        <v>180</v>
      </c>
      <c r="E689" s="87">
        <v>2005</v>
      </c>
      <c r="F689" s="88">
        <v>0.3</v>
      </c>
      <c r="G689" s="88">
        <v>0.25380000000000003</v>
      </c>
      <c r="H689" s="88">
        <v>2.2817999999999996</v>
      </c>
      <c r="I689" s="88">
        <v>2.3119000000000001</v>
      </c>
      <c r="J689" s="88">
        <v>385.52190000000024</v>
      </c>
      <c r="K689" s="88">
        <v>0</v>
      </c>
      <c r="L689" s="88">
        <v>0</v>
      </c>
      <c r="M689" s="88">
        <v>0</v>
      </c>
      <c r="N689" s="88">
        <v>0</v>
      </c>
      <c r="O689" s="88">
        <v>0</v>
      </c>
      <c r="P689" s="88">
        <v>390.66940000000034</v>
      </c>
    </row>
    <row r="690" spans="2:16" hidden="1">
      <c r="B690" s="79"/>
      <c r="C690" s="79"/>
      <c r="D690" s="81" t="s">
        <v>179</v>
      </c>
      <c r="E690" s="87">
        <v>2006</v>
      </c>
      <c r="F690" s="88">
        <v>0.2666</v>
      </c>
      <c r="G690" s="88">
        <v>1.1000000000000008</v>
      </c>
      <c r="H690" s="88">
        <v>0.87819999999999987</v>
      </c>
      <c r="I690" s="88">
        <v>3.1776</v>
      </c>
      <c r="J690" s="88">
        <v>216.49469999999999</v>
      </c>
      <c r="K690" s="88">
        <v>0</v>
      </c>
      <c r="L690" s="88">
        <v>0</v>
      </c>
      <c r="M690" s="88">
        <v>0</v>
      </c>
      <c r="N690" s="88">
        <v>0</v>
      </c>
      <c r="O690" s="88">
        <v>0</v>
      </c>
      <c r="P690" s="88">
        <v>221.91709999999998</v>
      </c>
    </row>
    <row r="691" spans="2:16" hidden="1">
      <c r="B691" s="79"/>
      <c r="C691" s="79"/>
      <c r="D691" s="81" t="s">
        <v>179</v>
      </c>
      <c r="E691" s="87">
        <v>2007</v>
      </c>
      <c r="F691" s="88">
        <v>2.0919999999999996</v>
      </c>
      <c r="G691" s="88">
        <v>2.0752000000000006</v>
      </c>
      <c r="H691" s="88">
        <v>4.3948999999999998</v>
      </c>
      <c r="I691" s="88">
        <v>12.967000000000001</v>
      </c>
      <c r="J691" s="88">
        <v>62.028799999999997</v>
      </c>
      <c r="K691" s="88">
        <v>0</v>
      </c>
      <c r="L691" s="88">
        <v>0</v>
      </c>
      <c r="M691" s="88">
        <v>0</v>
      </c>
      <c r="N691" s="88">
        <v>0</v>
      </c>
      <c r="O691" s="88">
        <v>0</v>
      </c>
      <c r="P691" s="88">
        <v>83.557900000000004</v>
      </c>
    </row>
    <row r="692" spans="2:16" hidden="1">
      <c r="B692" s="79"/>
      <c r="C692" s="79"/>
      <c r="D692" s="81" t="s">
        <v>179</v>
      </c>
      <c r="E692" s="87">
        <v>2008</v>
      </c>
      <c r="F692" s="88">
        <v>6.5991000000000009</v>
      </c>
      <c r="G692" s="88">
        <v>1.1336999999999999</v>
      </c>
      <c r="H692" s="88">
        <v>2.3195000000000001</v>
      </c>
      <c r="I692" s="88">
        <v>19.747299999999996</v>
      </c>
      <c r="J692" s="88">
        <v>3.7585000000000002</v>
      </c>
      <c r="K692" s="88">
        <v>0</v>
      </c>
      <c r="L692" s="88">
        <v>0</v>
      </c>
      <c r="M692" s="88">
        <v>0</v>
      </c>
      <c r="N692" s="88">
        <v>0</v>
      </c>
      <c r="O692" s="88">
        <v>0</v>
      </c>
      <c r="P692" s="88">
        <v>33.558100000000003</v>
      </c>
    </row>
    <row r="693" spans="2:16" hidden="1">
      <c r="B693" s="79"/>
      <c r="C693" s="79"/>
      <c r="D693" s="81" t="s">
        <v>179</v>
      </c>
      <c r="E693" s="87">
        <v>2009</v>
      </c>
      <c r="F693" s="88">
        <v>3.7996000000000008</v>
      </c>
      <c r="G693" s="88">
        <v>1.3129000000000002</v>
      </c>
      <c r="H693" s="88">
        <v>6.6683000000000003</v>
      </c>
      <c r="I693" s="88">
        <v>8.1618999999999993</v>
      </c>
      <c r="J693" s="88">
        <v>20.564900000000005</v>
      </c>
      <c r="K693" s="88">
        <v>0</v>
      </c>
      <c r="L693" s="88">
        <v>0</v>
      </c>
      <c r="M693" s="88">
        <v>0</v>
      </c>
      <c r="N693" s="88">
        <v>0</v>
      </c>
      <c r="O693" s="88">
        <v>0</v>
      </c>
      <c r="P693" s="88">
        <v>40.507600000000004</v>
      </c>
    </row>
    <row r="694" spans="2:16" hidden="1">
      <c r="B694" s="79"/>
      <c r="C694" s="79"/>
      <c r="D694" s="81" t="s">
        <v>179</v>
      </c>
      <c r="E694" s="87">
        <v>2010</v>
      </c>
      <c r="F694" s="88">
        <v>0.54210000000000003</v>
      </c>
      <c r="G694" s="88">
        <v>2.3516000000000012</v>
      </c>
      <c r="H694" s="88">
        <v>9.8564000000000007</v>
      </c>
      <c r="I694" s="88">
        <v>9.0752000000000006</v>
      </c>
      <c r="J694" s="88">
        <v>1.5167999999999999</v>
      </c>
      <c r="K694" s="88">
        <v>0</v>
      </c>
      <c r="L694" s="88">
        <v>0</v>
      </c>
      <c r="M694" s="88">
        <v>0</v>
      </c>
      <c r="N694" s="88">
        <v>0</v>
      </c>
      <c r="O694" s="88">
        <v>0</v>
      </c>
      <c r="P694" s="88">
        <v>23.342100000000006</v>
      </c>
    </row>
    <row r="695" spans="2:16" hidden="1">
      <c r="B695" s="79"/>
      <c r="C695" s="79"/>
      <c r="D695" s="81" t="s">
        <v>179</v>
      </c>
      <c r="E695" s="87">
        <v>2011</v>
      </c>
      <c r="F695" s="88">
        <v>2.8420999999999998</v>
      </c>
      <c r="G695" s="88">
        <v>4.2823000000000002</v>
      </c>
      <c r="H695" s="88">
        <v>5.6522000000000006</v>
      </c>
      <c r="I695" s="88">
        <v>9.6048999999999989</v>
      </c>
      <c r="J695" s="88">
        <v>7.1716000000000006</v>
      </c>
      <c r="K695" s="88">
        <v>0</v>
      </c>
      <c r="L695" s="88">
        <v>0</v>
      </c>
      <c r="M695" s="88">
        <v>0</v>
      </c>
      <c r="N695" s="88">
        <v>0</v>
      </c>
      <c r="O695" s="88">
        <v>0</v>
      </c>
      <c r="P695" s="88">
        <v>29.553099999999997</v>
      </c>
    </row>
    <row r="696" spans="2:16" hidden="1">
      <c r="B696" s="79"/>
      <c r="C696" s="79"/>
      <c r="D696" s="81" t="s">
        <v>179</v>
      </c>
      <c r="E696" s="82">
        <v>2012</v>
      </c>
      <c r="F696" s="83">
        <v>15.515000000000002</v>
      </c>
      <c r="G696" s="83">
        <v>0.96029999999999993</v>
      </c>
      <c r="H696" s="83">
        <v>35.051599999999986</v>
      </c>
      <c r="I696" s="83">
        <v>7.2863999999999995</v>
      </c>
      <c r="J696" s="83">
        <v>5.5391000000000012</v>
      </c>
      <c r="K696" s="83">
        <v>0</v>
      </c>
      <c r="L696" s="83">
        <v>0</v>
      </c>
      <c r="M696" s="83">
        <v>0</v>
      </c>
      <c r="N696" s="83">
        <v>0</v>
      </c>
      <c r="O696" s="83">
        <v>0</v>
      </c>
      <c r="P696" s="83">
        <v>64.352399999999989</v>
      </c>
    </row>
    <row r="697" spans="2:16" hidden="1">
      <c r="B697" s="79"/>
      <c r="C697" s="79"/>
      <c r="D697" s="77" t="s">
        <v>119</v>
      </c>
      <c r="E697" s="87">
        <v>2005</v>
      </c>
      <c r="F697" s="88">
        <v>92.698399999999992</v>
      </c>
      <c r="G697" s="88">
        <v>179.01039999999998</v>
      </c>
      <c r="H697" s="88">
        <v>1017.611900000001</v>
      </c>
      <c r="I697" s="88">
        <v>748.57679999999857</v>
      </c>
      <c r="J697" s="88">
        <v>950.89810000000034</v>
      </c>
      <c r="K697" s="88">
        <v>0</v>
      </c>
      <c r="L697" s="88">
        <v>0</v>
      </c>
      <c r="M697" s="88">
        <v>0</v>
      </c>
      <c r="N697" s="88">
        <v>0</v>
      </c>
      <c r="O697" s="88">
        <v>0</v>
      </c>
      <c r="P697" s="88">
        <v>2988.7955999999981</v>
      </c>
    </row>
    <row r="698" spans="2:16" hidden="1">
      <c r="B698" s="79"/>
      <c r="C698" s="79"/>
      <c r="D698" s="81" t="s">
        <v>119</v>
      </c>
      <c r="E698" s="87">
        <v>2006</v>
      </c>
      <c r="F698" s="88">
        <v>99.134599999999949</v>
      </c>
      <c r="G698" s="88">
        <v>188.1942</v>
      </c>
      <c r="H698" s="88">
        <v>1153.5399999999997</v>
      </c>
      <c r="I698" s="88">
        <v>557.29130000000009</v>
      </c>
      <c r="J698" s="88">
        <v>811.38240000000019</v>
      </c>
      <c r="K698" s="88">
        <v>0</v>
      </c>
      <c r="L698" s="88">
        <v>0</v>
      </c>
      <c r="M698" s="88">
        <v>0</v>
      </c>
      <c r="N698" s="88">
        <v>0</v>
      </c>
      <c r="O698" s="88">
        <v>0</v>
      </c>
      <c r="P698" s="88">
        <v>2809.5424999999968</v>
      </c>
    </row>
    <row r="699" spans="2:16" hidden="1">
      <c r="B699" s="79"/>
      <c r="C699" s="79"/>
      <c r="D699" s="81" t="s">
        <v>119</v>
      </c>
      <c r="E699" s="87">
        <v>2007</v>
      </c>
      <c r="F699" s="88">
        <v>104.70459999999994</v>
      </c>
      <c r="G699" s="88">
        <v>326.35389999999984</v>
      </c>
      <c r="H699" s="88">
        <v>982.98020000000088</v>
      </c>
      <c r="I699" s="88">
        <v>819.98800000000006</v>
      </c>
      <c r="J699" s="88">
        <v>551.44740000000002</v>
      </c>
      <c r="K699" s="88">
        <v>0</v>
      </c>
      <c r="L699" s="88">
        <v>0</v>
      </c>
      <c r="M699" s="88">
        <v>0</v>
      </c>
      <c r="N699" s="88">
        <v>0</v>
      </c>
      <c r="O699" s="88">
        <v>0</v>
      </c>
      <c r="P699" s="88">
        <v>2785.4740999999931</v>
      </c>
    </row>
    <row r="700" spans="2:16" hidden="1">
      <c r="B700" s="79"/>
      <c r="C700" s="79"/>
      <c r="D700" s="81" t="s">
        <v>119</v>
      </c>
      <c r="E700" s="87">
        <v>2008</v>
      </c>
      <c r="F700" s="88">
        <v>139.88399999999987</v>
      </c>
      <c r="G700" s="88">
        <v>267.19770000000005</v>
      </c>
      <c r="H700" s="88">
        <v>580.62469999999962</v>
      </c>
      <c r="I700" s="88">
        <v>779.64030000000025</v>
      </c>
      <c r="J700" s="88">
        <v>471.02139999999997</v>
      </c>
      <c r="K700" s="88">
        <v>0</v>
      </c>
      <c r="L700" s="88">
        <v>0</v>
      </c>
      <c r="M700" s="88">
        <v>0</v>
      </c>
      <c r="N700" s="88">
        <v>0</v>
      </c>
      <c r="O700" s="88">
        <v>0</v>
      </c>
      <c r="P700" s="88">
        <v>2238.3681000000001</v>
      </c>
    </row>
    <row r="701" spans="2:16" hidden="1">
      <c r="B701" s="79"/>
      <c r="C701" s="79"/>
      <c r="D701" s="81" t="s">
        <v>119</v>
      </c>
      <c r="E701" s="87">
        <v>2009</v>
      </c>
      <c r="F701" s="88">
        <v>121.51839999999999</v>
      </c>
      <c r="G701" s="88">
        <v>262.86900000000003</v>
      </c>
      <c r="H701" s="88">
        <v>701.29970000000026</v>
      </c>
      <c r="I701" s="88">
        <v>497.17899999999997</v>
      </c>
      <c r="J701" s="88">
        <v>596.31670000000008</v>
      </c>
      <c r="K701" s="88">
        <v>0</v>
      </c>
      <c r="L701" s="88">
        <v>0</v>
      </c>
      <c r="M701" s="88">
        <v>0</v>
      </c>
      <c r="N701" s="88">
        <v>0</v>
      </c>
      <c r="O701" s="88">
        <v>0</v>
      </c>
      <c r="P701" s="88">
        <v>2179.1827999999996</v>
      </c>
    </row>
    <row r="702" spans="2:16" hidden="1">
      <c r="B702" s="79"/>
      <c r="C702" s="79"/>
      <c r="D702" s="81" t="s">
        <v>119</v>
      </c>
      <c r="E702" s="87">
        <v>2010</v>
      </c>
      <c r="F702" s="88">
        <v>12.233399999999998</v>
      </c>
      <c r="G702" s="88">
        <v>301.77240000000018</v>
      </c>
      <c r="H702" s="88">
        <v>1019.368700000001</v>
      </c>
      <c r="I702" s="88">
        <v>431.2505000000001</v>
      </c>
      <c r="J702" s="88">
        <v>501.62389999999982</v>
      </c>
      <c r="K702" s="88">
        <v>0</v>
      </c>
      <c r="L702" s="88">
        <v>0</v>
      </c>
      <c r="M702" s="88">
        <v>0</v>
      </c>
      <c r="N702" s="88">
        <v>0</v>
      </c>
      <c r="O702" s="88">
        <v>0</v>
      </c>
      <c r="P702" s="88">
        <v>2266.2489000000014</v>
      </c>
    </row>
    <row r="703" spans="2:16" hidden="1">
      <c r="B703" s="79"/>
      <c r="C703" s="79"/>
      <c r="D703" s="81" t="s">
        <v>119</v>
      </c>
      <c r="E703" s="87">
        <v>2011</v>
      </c>
      <c r="F703" s="88">
        <v>110.57189999999999</v>
      </c>
      <c r="G703" s="88">
        <v>245.53219999999999</v>
      </c>
      <c r="H703" s="88">
        <v>803.60960000000011</v>
      </c>
      <c r="I703" s="88">
        <v>487.81129999999985</v>
      </c>
      <c r="J703" s="88">
        <v>542.76310000000012</v>
      </c>
      <c r="K703" s="88">
        <v>0</v>
      </c>
      <c r="L703" s="88">
        <v>0</v>
      </c>
      <c r="M703" s="88">
        <v>0</v>
      </c>
      <c r="N703" s="88">
        <v>0</v>
      </c>
      <c r="O703" s="88">
        <v>0</v>
      </c>
      <c r="P703" s="88">
        <v>2190.288100000002</v>
      </c>
    </row>
    <row r="704" spans="2:16" hidden="1">
      <c r="B704" s="79"/>
      <c r="C704" s="89"/>
      <c r="D704" s="81" t="s">
        <v>119</v>
      </c>
      <c r="E704" s="82">
        <v>2012</v>
      </c>
      <c r="F704" s="83">
        <v>196.89010000000022</v>
      </c>
      <c r="G704" s="83">
        <v>222.02830000000003</v>
      </c>
      <c r="H704" s="83">
        <v>1071.8363000000004</v>
      </c>
      <c r="I704" s="83">
        <v>535.23429999999996</v>
      </c>
      <c r="J704" s="83">
        <v>362.00349999999986</v>
      </c>
      <c r="K704" s="83">
        <v>0</v>
      </c>
      <c r="L704" s="83">
        <v>0</v>
      </c>
      <c r="M704" s="83">
        <v>0</v>
      </c>
      <c r="N704" s="83">
        <v>0</v>
      </c>
      <c r="O704" s="83">
        <v>0</v>
      </c>
      <c r="P704" s="83">
        <v>2387.9925000000021</v>
      </c>
    </row>
    <row r="705" spans="2:16" hidden="1">
      <c r="B705" s="79"/>
      <c r="C705" s="76" t="s">
        <v>201</v>
      </c>
      <c r="D705" s="77" t="s">
        <v>179</v>
      </c>
      <c r="E705" s="85">
        <v>2005</v>
      </c>
      <c r="F705" s="86">
        <v>4.8345000000000011</v>
      </c>
      <c r="G705" s="86">
        <v>788.02789999999584</v>
      </c>
      <c r="H705" s="86">
        <v>390.48920000000032</v>
      </c>
      <c r="I705" s="86">
        <v>33.933999999999997</v>
      </c>
      <c r="J705" s="86">
        <v>6</v>
      </c>
      <c r="K705" s="86">
        <v>0</v>
      </c>
      <c r="L705" s="86">
        <v>0</v>
      </c>
      <c r="M705" s="86">
        <v>0</v>
      </c>
      <c r="N705" s="86">
        <v>0</v>
      </c>
      <c r="O705" s="86">
        <v>0</v>
      </c>
      <c r="P705" s="86">
        <v>1223.2855999999945</v>
      </c>
    </row>
    <row r="706" spans="2:16" hidden="1">
      <c r="B706" s="79"/>
      <c r="C706" s="79"/>
      <c r="D706" s="81" t="s">
        <v>180</v>
      </c>
      <c r="E706" s="87">
        <v>2006</v>
      </c>
      <c r="F706" s="88">
        <v>4.7519999999999998</v>
      </c>
      <c r="G706" s="88">
        <v>1350.7463000000257</v>
      </c>
      <c r="H706" s="88">
        <v>319.71320000000014</v>
      </c>
      <c r="I706" s="88">
        <v>35.445800000000006</v>
      </c>
      <c r="J706" s="88">
        <v>7</v>
      </c>
      <c r="K706" s="88">
        <v>0</v>
      </c>
      <c r="L706" s="88">
        <v>0</v>
      </c>
      <c r="M706" s="88">
        <v>0</v>
      </c>
      <c r="N706" s="88">
        <v>0</v>
      </c>
      <c r="O706" s="88">
        <v>0</v>
      </c>
      <c r="P706" s="88">
        <v>1717.657300000029</v>
      </c>
    </row>
    <row r="707" spans="2:16" hidden="1">
      <c r="B707" s="79"/>
      <c r="C707" s="79"/>
      <c r="D707" s="81" t="s">
        <v>180</v>
      </c>
      <c r="E707" s="87">
        <v>2007</v>
      </c>
      <c r="F707" s="88">
        <v>4.9540000000000006</v>
      </c>
      <c r="G707" s="88">
        <v>1022.9260999999988</v>
      </c>
      <c r="H707" s="88">
        <v>473.74100000000078</v>
      </c>
      <c r="I707" s="88">
        <v>45.790100000000002</v>
      </c>
      <c r="J707" s="88">
        <v>49.29590000000001</v>
      </c>
      <c r="K707" s="88">
        <v>0</v>
      </c>
      <c r="L707" s="88">
        <v>0</v>
      </c>
      <c r="M707" s="88">
        <v>0</v>
      </c>
      <c r="N707" s="88">
        <v>0</v>
      </c>
      <c r="O707" s="88">
        <v>0</v>
      </c>
      <c r="P707" s="88">
        <v>1596.707100000001</v>
      </c>
    </row>
    <row r="708" spans="2:16" hidden="1">
      <c r="B708" s="79"/>
      <c r="C708" s="79"/>
      <c r="D708" s="81" t="s">
        <v>180</v>
      </c>
      <c r="E708" s="87">
        <v>2008</v>
      </c>
      <c r="F708" s="88">
        <v>5.0780000000000003</v>
      </c>
      <c r="G708" s="88">
        <v>696.17230000000131</v>
      </c>
      <c r="H708" s="88">
        <v>427.22070000000019</v>
      </c>
      <c r="I708" s="88">
        <v>46.486200000000004</v>
      </c>
      <c r="J708" s="88">
        <v>39.159300000000002</v>
      </c>
      <c r="K708" s="88">
        <v>0</v>
      </c>
      <c r="L708" s="88">
        <v>0</v>
      </c>
      <c r="M708" s="88">
        <v>0</v>
      </c>
      <c r="N708" s="88">
        <v>0</v>
      </c>
      <c r="O708" s="88">
        <v>0</v>
      </c>
      <c r="P708" s="88">
        <v>1214.1164999999999</v>
      </c>
    </row>
    <row r="709" spans="2:16" hidden="1">
      <c r="B709" s="79"/>
      <c r="C709" s="79"/>
      <c r="D709" s="81" t="s">
        <v>180</v>
      </c>
      <c r="E709" s="87">
        <v>2009</v>
      </c>
      <c r="F709" s="88">
        <v>5.4839999999999991</v>
      </c>
      <c r="G709" s="88">
        <v>701.16580000000079</v>
      </c>
      <c r="H709" s="88">
        <v>332.35570000000018</v>
      </c>
      <c r="I709" s="88">
        <v>40.019300000000001</v>
      </c>
      <c r="J709" s="88">
        <v>42.43569999999999</v>
      </c>
      <c r="K709" s="88">
        <v>0</v>
      </c>
      <c r="L709" s="88">
        <v>0</v>
      </c>
      <c r="M709" s="88">
        <v>0</v>
      </c>
      <c r="N709" s="88">
        <v>0</v>
      </c>
      <c r="O709" s="88">
        <v>0</v>
      </c>
      <c r="P709" s="88">
        <v>1121.4604999999992</v>
      </c>
    </row>
    <row r="710" spans="2:16" hidden="1">
      <c r="B710" s="79"/>
      <c r="C710" s="79"/>
      <c r="D710" s="81" t="s">
        <v>180</v>
      </c>
      <c r="E710" s="87">
        <v>2010</v>
      </c>
      <c r="F710" s="88">
        <v>4.1190000000000007</v>
      </c>
      <c r="G710" s="88">
        <v>687.98660000000064</v>
      </c>
      <c r="H710" s="88">
        <v>294.19529999999997</v>
      </c>
      <c r="I710" s="88">
        <v>48.554000000000002</v>
      </c>
      <c r="J710" s="88">
        <v>28.917000000000002</v>
      </c>
      <c r="K710" s="88">
        <v>0</v>
      </c>
      <c r="L710" s="88">
        <v>0</v>
      </c>
      <c r="M710" s="88">
        <v>0</v>
      </c>
      <c r="N710" s="88">
        <v>0</v>
      </c>
      <c r="O710" s="88">
        <v>0</v>
      </c>
      <c r="P710" s="88">
        <v>1063.7718999999997</v>
      </c>
    </row>
    <row r="711" spans="2:16" hidden="1">
      <c r="B711" s="79"/>
      <c r="C711" s="79"/>
      <c r="D711" s="81" t="s">
        <v>180</v>
      </c>
      <c r="E711" s="87">
        <v>2011</v>
      </c>
      <c r="F711" s="88">
        <v>0</v>
      </c>
      <c r="G711" s="88">
        <v>0</v>
      </c>
      <c r="H711" s="88">
        <v>0</v>
      </c>
      <c r="I711" s="88">
        <v>0</v>
      </c>
      <c r="J711" s="88">
        <v>0</v>
      </c>
      <c r="K711" s="88">
        <v>0</v>
      </c>
      <c r="L711" s="88">
        <v>0</v>
      </c>
      <c r="M711" s="88">
        <v>0</v>
      </c>
      <c r="N711" s="88">
        <v>0</v>
      </c>
      <c r="O711" s="88">
        <v>0</v>
      </c>
      <c r="P711" s="88">
        <v>0</v>
      </c>
    </row>
    <row r="712" spans="2:16" hidden="1">
      <c r="B712" s="79"/>
      <c r="C712" s="79"/>
      <c r="D712" s="81" t="s">
        <v>180</v>
      </c>
      <c r="E712" s="82">
        <v>2012</v>
      </c>
      <c r="F712" s="83">
        <v>0</v>
      </c>
      <c r="G712" s="83">
        <v>0</v>
      </c>
      <c r="H712" s="83">
        <v>0</v>
      </c>
      <c r="I712" s="83">
        <v>0</v>
      </c>
      <c r="J712" s="83">
        <v>0</v>
      </c>
      <c r="K712" s="83">
        <v>0</v>
      </c>
      <c r="L712" s="83">
        <v>0</v>
      </c>
      <c r="M712" s="83">
        <v>0</v>
      </c>
      <c r="N712" s="83">
        <v>0</v>
      </c>
      <c r="O712" s="83">
        <v>0</v>
      </c>
      <c r="P712" s="83">
        <v>0</v>
      </c>
    </row>
    <row r="713" spans="2:16" hidden="1">
      <c r="B713" s="79"/>
      <c r="C713" s="79"/>
      <c r="D713" s="77" t="s">
        <v>180</v>
      </c>
      <c r="E713" s="87">
        <v>2005</v>
      </c>
      <c r="F713" s="88">
        <v>0</v>
      </c>
      <c r="G713" s="88">
        <v>2.1139999999999999</v>
      </c>
      <c r="H713" s="88">
        <v>0.88839999999999997</v>
      </c>
      <c r="I713" s="88">
        <v>0.56669999999999998</v>
      </c>
      <c r="J713" s="88">
        <v>0</v>
      </c>
      <c r="K713" s="88">
        <v>0</v>
      </c>
      <c r="L713" s="88">
        <v>0</v>
      </c>
      <c r="M713" s="88">
        <v>0</v>
      </c>
      <c r="N713" s="88">
        <v>0</v>
      </c>
      <c r="O713" s="88">
        <v>0</v>
      </c>
      <c r="P713" s="88">
        <v>3.5691000000000006</v>
      </c>
    </row>
    <row r="714" spans="2:16" hidden="1">
      <c r="B714" s="79"/>
      <c r="C714" s="79"/>
      <c r="D714" s="81" t="s">
        <v>179</v>
      </c>
      <c r="E714" s="87">
        <v>2006</v>
      </c>
      <c r="F714" s="88">
        <v>0</v>
      </c>
      <c r="G714" s="88">
        <v>1.5800999999999998</v>
      </c>
      <c r="H714" s="88">
        <v>2.2297000000000002</v>
      </c>
      <c r="I714" s="88">
        <v>0</v>
      </c>
      <c r="J714" s="88">
        <v>0</v>
      </c>
      <c r="K714" s="88">
        <v>0</v>
      </c>
      <c r="L714" s="88">
        <v>0</v>
      </c>
      <c r="M714" s="88">
        <v>0</v>
      </c>
      <c r="N714" s="88">
        <v>0</v>
      </c>
      <c r="O714" s="88">
        <v>0</v>
      </c>
      <c r="P714" s="88">
        <v>3.8098000000000001</v>
      </c>
    </row>
    <row r="715" spans="2:16" hidden="1">
      <c r="B715" s="79"/>
      <c r="C715" s="79"/>
      <c r="D715" s="81" t="s">
        <v>179</v>
      </c>
      <c r="E715" s="87">
        <v>2007</v>
      </c>
      <c r="F715" s="88">
        <v>0</v>
      </c>
      <c r="G715" s="88">
        <v>3.6785000000000005</v>
      </c>
      <c r="H715" s="88">
        <v>2.6562000000000001</v>
      </c>
      <c r="I715" s="88">
        <v>0.91659999999999986</v>
      </c>
      <c r="J715" s="88">
        <v>1</v>
      </c>
      <c r="K715" s="88">
        <v>0</v>
      </c>
      <c r="L715" s="88">
        <v>0</v>
      </c>
      <c r="M715" s="88">
        <v>0</v>
      </c>
      <c r="N715" s="88">
        <v>0</v>
      </c>
      <c r="O715" s="88">
        <v>0</v>
      </c>
      <c r="P715" s="88">
        <v>8.2513000000000005</v>
      </c>
    </row>
    <row r="716" spans="2:16" hidden="1">
      <c r="B716" s="79"/>
      <c r="C716" s="79"/>
      <c r="D716" s="81" t="s">
        <v>179</v>
      </c>
      <c r="E716" s="87">
        <v>2008</v>
      </c>
      <c r="F716" s="88">
        <v>0</v>
      </c>
      <c r="G716" s="88">
        <v>6.8181000000000003</v>
      </c>
      <c r="H716" s="88">
        <v>4.7216000000000014</v>
      </c>
      <c r="I716" s="88">
        <v>0.51739999999999997</v>
      </c>
      <c r="J716" s="88">
        <v>0</v>
      </c>
      <c r="K716" s="88">
        <v>0</v>
      </c>
      <c r="L716" s="88">
        <v>0</v>
      </c>
      <c r="M716" s="88">
        <v>0</v>
      </c>
      <c r="N716" s="88">
        <v>0</v>
      </c>
      <c r="O716" s="88">
        <v>0</v>
      </c>
      <c r="P716" s="88">
        <v>12.057100000000002</v>
      </c>
    </row>
    <row r="717" spans="2:16" hidden="1">
      <c r="B717" s="79"/>
      <c r="C717" s="79"/>
      <c r="D717" s="81" t="s">
        <v>179</v>
      </c>
      <c r="E717" s="87">
        <v>2009</v>
      </c>
      <c r="F717" s="88">
        <v>0</v>
      </c>
      <c r="G717" s="88">
        <v>6.5718999999999994</v>
      </c>
      <c r="H717" s="88">
        <v>1.3518000000000001</v>
      </c>
      <c r="I717" s="88">
        <v>0.25440000000000002</v>
      </c>
      <c r="J717" s="88">
        <v>0</v>
      </c>
      <c r="K717" s="88">
        <v>0</v>
      </c>
      <c r="L717" s="88">
        <v>0</v>
      </c>
      <c r="M717" s="88">
        <v>0</v>
      </c>
      <c r="N717" s="88">
        <v>0</v>
      </c>
      <c r="O717" s="88">
        <v>0</v>
      </c>
      <c r="P717" s="88">
        <v>8.1780999999999988</v>
      </c>
    </row>
    <row r="718" spans="2:16" hidden="1">
      <c r="B718" s="79"/>
      <c r="C718" s="79"/>
      <c r="D718" s="81" t="s">
        <v>179</v>
      </c>
      <c r="E718" s="87">
        <v>2010</v>
      </c>
      <c r="F718" s="88">
        <v>0</v>
      </c>
      <c r="G718" s="88">
        <v>0.43689999999999996</v>
      </c>
      <c r="H718" s="88">
        <v>1.6620999999999999</v>
      </c>
      <c r="I718" s="88">
        <v>1.6795</v>
      </c>
      <c r="J718" s="88">
        <v>0</v>
      </c>
      <c r="K718" s="88">
        <v>0</v>
      </c>
      <c r="L718" s="88">
        <v>0</v>
      </c>
      <c r="M718" s="88">
        <v>0</v>
      </c>
      <c r="N718" s="88">
        <v>0</v>
      </c>
      <c r="O718" s="88">
        <v>0</v>
      </c>
      <c r="P718" s="88">
        <v>3.7785000000000002</v>
      </c>
    </row>
    <row r="719" spans="2:16" hidden="1">
      <c r="B719" s="79"/>
      <c r="C719" s="79"/>
      <c r="D719" s="81" t="s">
        <v>179</v>
      </c>
      <c r="E719" s="87">
        <v>2011</v>
      </c>
      <c r="F719" s="88">
        <v>0</v>
      </c>
      <c r="G719" s="88">
        <v>0</v>
      </c>
      <c r="H719" s="88">
        <v>0</v>
      </c>
      <c r="I719" s="88">
        <v>0</v>
      </c>
      <c r="J719" s="88">
        <v>0</v>
      </c>
      <c r="K719" s="88">
        <v>0</v>
      </c>
      <c r="L719" s="88">
        <v>0</v>
      </c>
      <c r="M719" s="88">
        <v>0</v>
      </c>
      <c r="N719" s="88">
        <v>0</v>
      </c>
      <c r="O719" s="88">
        <v>0</v>
      </c>
      <c r="P719" s="88">
        <v>0</v>
      </c>
    </row>
    <row r="720" spans="2:16" hidden="1">
      <c r="B720" s="79"/>
      <c r="C720" s="79"/>
      <c r="D720" s="81" t="s">
        <v>179</v>
      </c>
      <c r="E720" s="82">
        <v>2012</v>
      </c>
      <c r="F720" s="83">
        <v>0</v>
      </c>
      <c r="G720" s="83">
        <v>0</v>
      </c>
      <c r="H720" s="83">
        <v>0</v>
      </c>
      <c r="I720" s="83">
        <v>0</v>
      </c>
      <c r="J720" s="83">
        <v>0</v>
      </c>
      <c r="K720" s="83">
        <v>0</v>
      </c>
      <c r="L720" s="83">
        <v>0</v>
      </c>
      <c r="M720" s="83">
        <v>0</v>
      </c>
      <c r="N720" s="83">
        <v>0</v>
      </c>
      <c r="O720" s="83">
        <v>0</v>
      </c>
      <c r="P720" s="83">
        <v>0</v>
      </c>
    </row>
    <row r="721" spans="2:16" hidden="1">
      <c r="B721" s="79"/>
      <c r="C721" s="79"/>
      <c r="D721" s="77" t="s">
        <v>119</v>
      </c>
      <c r="E721" s="87">
        <v>2005</v>
      </c>
      <c r="F721" s="88">
        <v>4.8345000000000011</v>
      </c>
      <c r="G721" s="88">
        <v>790.14189999999587</v>
      </c>
      <c r="H721" s="88">
        <v>391.37760000000031</v>
      </c>
      <c r="I721" s="88">
        <v>34.500699999999995</v>
      </c>
      <c r="J721" s="88">
        <v>6</v>
      </c>
      <c r="K721" s="88">
        <v>0</v>
      </c>
      <c r="L721" s="88">
        <v>0</v>
      </c>
      <c r="M721" s="88">
        <v>0</v>
      </c>
      <c r="N721" s="88">
        <v>0</v>
      </c>
      <c r="O721" s="88">
        <v>0</v>
      </c>
      <c r="P721" s="88">
        <v>1226.8546999999944</v>
      </c>
    </row>
    <row r="722" spans="2:16" hidden="1">
      <c r="B722" s="79"/>
      <c r="C722" s="79"/>
      <c r="D722" s="81" t="s">
        <v>119</v>
      </c>
      <c r="E722" s="87">
        <v>2006</v>
      </c>
      <c r="F722" s="88">
        <v>4.7519999999999998</v>
      </c>
      <c r="G722" s="88">
        <v>1352.3264000000256</v>
      </c>
      <c r="H722" s="88">
        <v>321.94290000000012</v>
      </c>
      <c r="I722" s="88">
        <v>35.445800000000006</v>
      </c>
      <c r="J722" s="88">
        <v>7</v>
      </c>
      <c r="K722" s="88">
        <v>0</v>
      </c>
      <c r="L722" s="88">
        <v>0</v>
      </c>
      <c r="M722" s="88">
        <v>0</v>
      </c>
      <c r="N722" s="88">
        <v>0</v>
      </c>
      <c r="O722" s="88">
        <v>0</v>
      </c>
      <c r="P722" s="88">
        <v>1721.4671000000289</v>
      </c>
    </row>
    <row r="723" spans="2:16" hidden="1">
      <c r="B723" s="79"/>
      <c r="C723" s="79"/>
      <c r="D723" s="81" t="s">
        <v>119</v>
      </c>
      <c r="E723" s="87">
        <v>2007</v>
      </c>
      <c r="F723" s="88">
        <v>4.9540000000000006</v>
      </c>
      <c r="G723" s="88">
        <v>1026.6045999999988</v>
      </c>
      <c r="H723" s="88">
        <v>476.39720000000079</v>
      </c>
      <c r="I723" s="88">
        <v>46.706700000000005</v>
      </c>
      <c r="J723" s="88">
        <v>50.29590000000001</v>
      </c>
      <c r="K723" s="88">
        <v>0</v>
      </c>
      <c r="L723" s="88">
        <v>0</v>
      </c>
      <c r="M723" s="88">
        <v>0</v>
      </c>
      <c r="N723" s="88">
        <v>0</v>
      </c>
      <c r="O723" s="88">
        <v>0</v>
      </c>
      <c r="P723" s="88">
        <v>1604.9584000000009</v>
      </c>
    </row>
    <row r="724" spans="2:16" hidden="1">
      <c r="B724" s="79"/>
      <c r="C724" s="79"/>
      <c r="D724" s="81" t="s">
        <v>119</v>
      </c>
      <c r="E724" s="87">
        <v>2008</v>
      </c>
      <c r="F724" s="88">
        <v>5.0780000000000003</v>
      </c>
      <c r="G724" s="88">
        <v>702.99040000000127</v>
      </c>
      <c r="H724" s="88">
        <v>431.94230000000022</v>
      </c>
      <c r="I724" s="88">
        <v>47.003600000000006</v>
      </c>
      <c r="J724" s="88">
        <v>39.159300000000002</v>
      </c>
      <c r="K724" s="88">
        <v>0</v>
      </c>
      <c r="L724" s="88">
        <v>0</v>
      </c>
      <c r="M724" s="88">
        <v>0</v>
      </c>
      <c r="N724" s="88">
        <v>0</v>
      </c>
      <c r="O724" s="88">
        <v>0</v>
      </c>
      <c r="P724" s="88">
        <v>1226.1735999999999</v>
      </c>
    </row>
    <row r="725" spans="2:16" hidden="1">
      <c r="B725" s="79"/>
      <c r="C725" s="79"/>
      <c r="D725" s="81" t="s">
        <v>119</v>
      </c>
      <c r="E725" s="87">
        <v>2009</v>
      </c>
      <c r="F725" s="88">
        <v>5.4839999999999991</v>
      </c>
      <c r="G725" s="88">
        <v>707.73770000000081</v>
      </c>
      <c r="H725" s="88">
        <v>333.70750000000021</v>
      </c>
      <c r="I725" s="88">
        <v>40.273699999999998</v>
      </c>
      <c r="J725" s="88">
        <v>42.43569999999999</v>
      </c>
      <c r="K725" s="88">
        <v>0</v>
      </c>
      <c r="L725" s="88">
        <v>0</v>
      </c>
      <c r="M725" s="88">
        <v>0</v>
      </c>
      <c r="N725" s="88">
        <v>0</v>
      </c>
      <c r="O725" s="88">
        <v>0</v>
      </c>
      <c r="P725" s="88">
        <v>1129.6385999999993</v>
      </c>
    </row>
    <row r="726" spans="2:16" hidden="1">
      <c r="B726" s="79"/>
      <c r="C726" s="79"/>
      <c r="D726" s="81" t="s">
        <v>119</v>
      </c>
      <c r="E726" s="87">
        <v>2010</v>
      </c>
      <c r="F726" s="88">
        <v>4.1190000000000007</v>
      </c>
      <c r="G726" s="88">
        <v>688.42350000000067</v>
      </c>
      <c r="H726" s="88">
        <v>295.85739999999998</v>
      </c>
      <c r="I726" s="88">
        <v>50.233499999999999</v>
      </c>
      <c r="J726" s="88">
        <v>28.917000000000002</v>
      </c>
      <c r="K726" s="88">
        <v>0</v>
      </c>
      <c r="L726" s="88">
        <v>0</v>
      </c>
      <c r="M726" s="88">
        <v>0</v>
      </c>
      <c r="N726" s="88">
        <v>0</v>
      </c>
      <c r="O726" s="88">
        <v>0</v>
      </c>
      <c r="P726" s="88">
        <v>1067.5503999999996</v>
      </c>
    </row>
    <row r="727" spans="2:16" hidden="1">
      <c r="B727" s="79"/>
      <c r="C727" s="79"/>
      <c r="D727" s="81" t="s">
        <v>119</v>
      </c>
      <c r="E727" s="87">
        <v>2011</v>
      </c>
      <c r="F727" s="88">
        <v>0</v>
      </c>
      <c r="G727" s="88">
        <v>0</v>
      </c>
      <c r="H727" s="88">
        <v>0</v>
      </c>
      <c r="I727" s="88">
        <v>0</v>
      </c>
      <c r="J727" s="88">
        <v>0</v>
      </c>
      <c r="K727" s="88">
        <v>0</v>
      </c>
      <c r="L727" s="88">
        <v>0</v>
      </c>
      <c r="M727" s="88">
        <v>0</v>
      </c>
      <c r="N727" s="88">
        <v>0</v>
      </c>
      <c r="O727" s="88">
        <v>0</v>
      </c>
      <c r="P727" s="88">
        <v>0</v>
      </c>
    </row>
    <row r="728" spans="2:16" hidden="1">
      <c r="B728" s="79"/>
      <c r="C728" s="89"/>
      <c r="D728" s="81" t="s">
        <v>119</v>
      </c>
      <c r="E728" s="82">
        <v>2012</v>
      </c>
      <c r="F728" s="83">
        <v>0</v>
      </c>
      <c r="G728" s="83">
        <v>0</v>
      </c>
      <c r="H728" s="83">
        <v>0</v>
      </c>
      <c r="I728" s="83">
        <v>0</v>
      </c>
      <c r="J728" s="83">
        <v>0</v>
      </c>
      <c r="K728" s="83">
        <v>0</v>
      </c>
      <c r="L728" s="83">
        <v>0</v>
      </c>
      <c r="M728" s="83">
        <v>0</v>
      </c>
      <c r="N728" s="83">
        <v>0</v>
      </c>
      <c r="O728" s="83">
        <v>0</v>
      </c>
      <c r="P728" s="83">
        <v>0</v>
      </c>
    </row>
    <row r="729" spans="2:16" hidden="1">
      <c r="B729" s="79"/>
      <c r="C729" s="76" t="s">
        <v>119</v>
      </c>
      <c r="D729" s="77" t="s">
        <v>179</v>
      </c>
      <c r="E729" s="85">
        <v>2005</v>
      </c>
      <c r="F729" s="86">
        <v>4247.8625999999977</v>
      </c>
      <c r="G729" s="86">
        <v>11528.520099999983</v>
      </c>
      <c r="H729" s="86">
        <v>12607.566200000003</v>
      </c>
      <c r="I729" s="86">
        <v>14233.678399999966</v>
      </c>
      <c r="J729" s="86">
        <v>14001.974899999957</v>
      </c>
      <c r="K729" s="86">
        <v>12651.45429999999</v>
      </c>
      <c r="L729" s="86">
        <v>562.98919999999998</v>
      </c>
      <c r="M729" s="86">
        <v>509.67020000000002</v>
      </c>
      <c r="N729" s="86">
        <v>252.41470000000001</v>
      </c>
      <c r="O729" s="86">
        <v>5.1895999999999995</v>
      </c>
      <c r="P729" s="86">
        <v>70601.320200000104</v>
      </c>
    </row>
    <row r="730" spans="2:16" hidden="1">
      <c r="B730" s="79"/>
      <c r="C730" s="79"/>
      <c r="D730" s="81" t="s">
        <v>180</v>
      </c>
      <c r="E730" s="87">
        <v>2006</v>
      </c>
      <c r="F730" s="88">
        <v>3242.5503000000017</v>
      </c>
      <c r="G730" s="88">
        <v>11080.810000000001</v>
      </c>
      <c r="H730" s="88">
        <v>12785.34719999996</v>
      </c>
      <c r="I730" s="88">
        <v>14624.544899999983</v>
      </c>
      <c r="J730" s="88">
        <v>13435.780299999969</v>
      </c>
      <c r="K730" s="88">
        <v>12582.738399999987</v>
      </c>
      <c r="L730" s="88">
        <v>493.09460000000024</v>
      </c>
      <c r="M730" s="88">
        <v>502.33730000000003</v>
      </c>
      <c r="N730" s="88">
        <v>260.92750000000001</v>
      </c>
      <c r="O730" s="88">
        <v>5.9993999999999996</v>
      </c>
      <c r="P730" s="88">
        <v>69014.129900000116</v>
      </c>
    </row>
    <row r="731" spans="2:16" hidden="1">
      <c r="B731" s="79"/>
      <c r="C731" s="79"/>
      <c r="D731" s="81" t="s">
        <v>180</v>
      </c>
      <c r="E731" s="87">
        <v>2007</v>
      </c>
      <c r="F731" s="88">
        <v>2540.2471000000032</v>
      </c>
      <c r="G731" s="88">
        <v>11932.64080000001</v>
      </c>
      <c r="H731" s="88">
        <v>13446.743999999982</v>
      </c>
      <c r="I731" s="88">
        <v>15156.715499999988</v>
      </c>
      <c r="J731" s="88">
        <v>13897.320799999965</v>
      </c>
      <c r="K731" s="88">
        <v>12629.284799999985</v>
      </c>
      <c r="L731" s="88">
        <v>491.53949999999998</v>
      </c>
      <c r="M731" s="88">
        <v>473.05239999999992</v>
      </c>
      <c r="N731" s="88">
        <v>243.26259999999999</v>
      </c>
      <c r="O731" s="88">
        <v>6.5609999999999999</v>
      </c>
      <c r="P731" s="88">
        <v>70817.368500000157</v>
      </c>
    </row>
    <row r="732" spans="2:16" hidden="1">
      <c r="B732" s="79"/>
      <c r="C732" s="79"/>
      <c r="D732" s="81" t="s">
        <v>180</v>
      </c>
      <c r="E732" s="87">
        <v>2008</v>
      </c>
      <c r="F732" s="88">
        <v>1255.5704999999996</v>
      </c>
      <c r="G732" s="88">
        <v>10645.623999999965</v>
      </c>
      <c r="H732" s="88">
        <v>13020.706799999989</v>
      </c>
      <c r="I732" s="88">
        <v>14859.348799999985</v>
      </c>
      <c r="J732" s="88">
        <v>13530.067599999968</v>
      </c>
      <c r="K732" s="88">
        <v>12975.223599999996</v>
      </c>
      <c r="L732" s="88">
        <v>427.13359999999983</v>
      </c>
      <c r="M732" s="88">
        <v>465.43039999999996</v>
      </c>
      <c r="N732" s="88">
        <v>246.09629999999999</v>
      </c>
      <c r="O732" s="88">
        <v>7.3151999999999999</v>
      </c>
      <c r="P732" s="88">
        <v>67432.516799999896</v>
      </c>
    </row>
    <row r="733" spans="2:16" hidden="1">
      <c r="B733" s="79"/>
      <c r="C733" s="79"/>
      <c r="D733" s="81" t="s">
        <v>180</v>
      </c>
      <c r="E733" s="87">
        <v>2009</v>
      </c>
      <c r="F733" s="88">
        <v>1232.8451999999997</v>
      </c>
      <c r="G733" s="88">
        <v>10667.686400000002</v>
      </c>
      <c r="H733" s="88">
        <v>13912.931899999981</v>
      </c>
      <c r="I733" s="88">
        <v>15699.364700000004</v>
      </c>
      <c r="J733" s="88">
        <v>14729.690899999961</v>
      </c>
      <c r="K733" s="88">
        <v>14330.198300000002</v>
      </c>
      <c r="L733" s="88">
        <v>493.03850000000006</v>
      </c>
      <c r="M733" s="88">
        <v>523.83539999999982</v>
      </c>
      <c r="N733" s="88">
        <v>273.45389999999992</v>
      </c>
      <c r="O733" s="88">
        <v>4.4353999999999996</v>
      </c>
      <c r="P733" s="88">
        <v>71867.480599999966</v>
      </c>
    </row>
    <row r="734" spans="2:16" hidden="1">
      <c r="B734" s="79"/>
      <c r="C734" s="79"/>
      <c r="D734" s="81" t="s">
        <v>180</v>
      </c>
      <c r="E734" s="87">
        <v>2010</v>
      </c>
      <c r="F734" s="88">
        <v>1387.5231999999999</v>
      </c>
      <c r="G734" s="88">
        <v>9888.819200000009</v>
      </c>
      <c r="H734" s="88">
        <v>14147.884199999995</v>
      </c>
      <c r="I734" s="88">
        <v>15016.748100000003</v>
      </c>
      <c r="J734" s="88">
        <v>15392.466499999948</v>
      </c>
      <c r="K734" s="88">
        <v>16173.55059999999</v>
      </c>
      <c r="L734" s="88">
        <v>587.83329999999967</v>
      </c>
      <c r="M734" s="88">
        <v>557.44999999999993</v>
      </c>
      <c r="N734" s="88">
        <v>296.66429999999997</v>
      </c>
      <c r="O734" s="88">
        <v>4.2523999999999997</v>
      </c>
      <c r="P734" s="88">
        <v>73453.191799999899</v>
      </c>
    </row>
    <row r="735" spans="2:16" hidden="1">
      <c r="B735" s="79"/>
      <c r="C735" s="79"/>
      <c r="D735" s="81" t="s">
        <v>180</v>
      </c>
      <c r="E735" s="87">
        <v>2011</v>
      </c>
      <c r="F735" s="88">
        <v>1357.2683000000002</v>
      </c>
      <c r="G735" s="88">
        <v>9095.7744000000112</v>
      </c>
      <c r="H735" s="88">
        <v>12423.319000000012</v>
      </c>
      <c r="I735" s="88">
        <v>13744.998599999999</v>
      </c>
      <c r="J735" s="88">
        <v>14667.155199999952</v>
      </c>
      <c r="K735" s="88">
        <v>17929.463199999991</v>
      </c>
      <c r="L735" s="88">
        <v>613.58409999999981</v>
      </c>
      <c r="M735" s="88">
        <v>521.09349999999995</v>
      </c>
      <c r="N735" s="88">
        <v>339.44949999999994</v>
      </c>
      <c r="O735" s="88">
        <v>5.3452999999999999</v>
      </c>
      <c r="P735" s="88">
        <v>70697.451099999875</v>
      </c>
    </row>
    <row r="736" spans="2:16" hidden="1">
      <c r="B736" s="79"/>
      <c r="C736" s="79"/>
      <c r="D736" s="81" t="s">
        <v>180</v>
      </c>
      <c r="E736" s="82">
        <v>2012</v>
      </c>
      <c r="F736" s="83">
        <v>1514.0964000000001</v>
      </c>
      <c r="G736" s="83">
        <v>8561.4010000000071</v>
      </c>
      <c r="H736" s="83">
        <v>13311.936999999996</v>
      </c>
      <c r="I736" s="83">
        <v>14547.279500000004</v>
      </c>
      <c r="J736" s="83">
        <v>14061.524599999961</v>
      </c>
      <c r="K736" s="83">
        <v>18936.096799999988</v>
      </c>
      <c r="L736" s="83">
        <v>654.46889999999951</v>
      </c>
      <c r="M736" s="83">
        <v>580.82139999999993</v>
      </c>
      <c r="N736" s="83">
        <v>342.25159999999994</v>
      </c>
      <c r="O736" s="83">
        <v>7.0709999999999997</v>
      </c>
      <c r="P736" s="83">
        <v>72516.948199999882</v>
      </c>
    </row>
    <row r="737" spans="2:16" hidden="1">
      <c r="B737" s="79"/>
      <c r="C737" s="79"/>
      <c r="D737" s="77" t="s">
        <v>180</v>
      </c>
      <c r="E737" s="87">
        <v>2005</v>
      </c>
      <c r="F737" s="88">
        <v>37.403099999999988</v>
      </c>
      <c r="G737" s="88">
        <v>250.05459999999999</v>
      </c>
      <c r="H737" s="88">
        <v>550.23159999999996</v>
      </c>
      <c r="I737" s="88">
        <v>678.41520000000003</v>
      </c>
      <c r="J737" s="88">
        <v>3686.7423999999905</v>
      </c>
      <c r="K737" s="88">
        <v>2367.5001000000007</v>
      </c>
      <c r="L737" s="88">
        <v>115.0476</v>
      </c>
      <c r="M737" s="88">
        <v>35.177899999999994</v>
      </c>
      <c r="N737" s="88">
        <v>30.642999999999997</v>
      </c>
      <c r="O737" s="88">
        <v>0.43779999999999997</v>
      </c>
      <c r="P737" s="88">
        <v>7751.6532999999699</v>
      </c>
    </row>
    <row r="738" spans="2:16" hidden="1">
      <c r="B738" s="79"/>
      <c r="C738" s="79"/>
      <c r="D738" s="81" t="s">
        <v>179</v>
      </c>
      <c r="E738" s="87">
        <v>2006</v>
      </c>
      <c r="F738" s="88">
        <v>22.486499999999999</v>
      </c>
      <c r="G738" s="88">
        <v>239.15599999999998</v>
      </c>
      <c r="H738" s="88">
        <v>432.20070000000004</v>
      </c>
      <c r="I738" s="88">
        <v>708.1812000000001</v>
      </c>
      <c r="J738" s="88">
        <v>2640.1081999999988</v>
      </c>
      <c r="K738" s="88">
        <v>1919.1826999999987</v>
      </c>
      <c r="L738" s="88">
        <v>113.9421</v>
      </c>
      <c r="M738" s="88">
        <v>41.6999</v>
      </c>
      <c r="N738" s="88">
        <v>26.0425</v>
      </c>
      <c r="O738" s="88">
        <v>0.875</v>
      </c>
      <c r="P738" s="88">
        <v>6143.874799999986</v>
      </c>
    </row>
    <row r="739" spans="2:16" hidden="1">
      <c r="B739" s="79"/>
      <c r="C739" s="79"/>
      <c r="D739" s="81" t="s">
        <v>179</v>
      </c>
      <c r="E739" s="87">
        <v>2007</v>
      </c>
      <c r="F739" s="88">
        <v>44.688399999999994</v>
      </c>
      <c r="G739" s="88">
        <v>163.56</v>
      </c>
      <c r="H739" s="88">
        <v>503.16579999999993</v>
      </c>
      <c r="I739" s="88">
        <v>881.57240000000024</v>
      </c>
      <c r="J739" s="88">
        <v>1976.5840000000001</v>
      </c>
      <c r="K739" s="88">
        <v>1689.0544</v>
      </c>
      <c r="L739" s="88">
        <v>135.17349999999993</v>
      </c>
      <c r="M739" s="88">
        <v>56.360399999999998</v>
      </c>
      <c r="N739" s="88">
        <v>22.724199999999996</v>
      </c>
      <c r="O739" s="88">
        <v>1</v>
      </c>
      <c r="P739" s="88">
        <v>5473.8830999999964</v>
      </c>
    </row>
    <row r="740" spans="2:16" hidden="1">
      <c r="B740" s="79"/>
      <c r="C740" s="79"/>
      <c r="D740" s="81" t="s">
        <v>179</v>
      </c>
      <c r="E740" s="87">
        <v>2008</v>
      </c>
      <c r="F740" s="88">
        <v>85.878900000000002</v>
      </c>
      <c r="G740" s="88">
        <v>152.88949999999997</v>
      </c>
      <c r="H740" s="88">
        <v>584.21809999999982</v>
      </c>
      <c r="I740" s="88">
        <v>904.46470000000022</v>
      </c>
      <c r="J740" s="88">
        <v>2047.3600999999999</v>
      </c>
      <c r="K740" s="88">
        <v>1471.9055999999996</v>
      </c>
      <c r="L740" s="88">
        <v>343.76189999999991</v>
      </c>
      <c r="M740" s="88">
        <v>69.148300000000006</v>
      </c>
      <c r="N740" s="88">
        <v>27.635899999999999</v>
      </c>
      <c r="O740" s="88">
        <v>1.2918000000000001</v>
      </c>
      <c r="P740" s="88">
        <v>5688.5547999999972</v>
      </c>
    </row>
    <row r="741" spans="2:16" hidden="1">
      <c r="B741" s="79"/>
      <c r="C741" s="79"/>
      <c r="D741" s="81" t="s">
        <v>179</v>
      </c>
      <c r="E741" s="87">
        <v>2009</v>
      </c>
      <c r="F741" s="88">
        <v>71.611900000000006</v>
      </c>
      <c r="G741" s="88">
        <v>126.4316</v>
      </c>
      <c r="H741" s="88">
        <v>505.2659000000001</v>
      </c>
      <c r="I741" s="88">
        <v>894.26090000000011</v>
      </c>
      <c r="J741" s="88">
        <v>2651.8741000000009</v>
      </c>
      <c r="K741" s="88">
        <v>1687.8712999999989</v>
      </c>
      <c r="L741" s="88">
        <v>416.64929999999993</v>
      </c>
      <c r="M741" s="88">
        <v>122.33579999999999</v>
      </c>
      <c r="N741" s="88">
        <v>31.2577</v>
      </c>
      <c r="O741" s="88">
        <v>0.3332</v>
      </c>
      <c r="P741" s="88">
        <v>6507.8916999999919</v>
      </c>
    </row>
    <row r="742" spans="2:16" hidden="1">
      <c r="B742" s="79"/>
      <c r="C742" s="79"/>
      <c r="D742" s="81" t="s">
        <v>179</v>
      </c>
      <c r="E742" s="87">
        <v>2010</v>
      </c>
      <c r="F742" s="88">
        <v>80.208099999999988</v>
      </c>
      <c r="G742" s="88">
        <v>90.21329999999999</v>
      </c>
      <c r="H742" s="88">
        <v>486.29630000000003</v>
      </c>
      <c r="I742" s="88">
        <v>878.98840000000018</v>
      </c>
      <c r="J742" s="88">
        <v>2810.3876</v>
      </c>
      <c r="K742" s="88">
        <v>2083.5979999999995</v>
      </c>
      <c r="L742" s="88">
        <v>485.28490000000011</v>
      </c>
      <c r="M742" s="88">
        <v>217.81409999999994</v>
      </c>
      <c r="N742" s="88">
        <v>33.277899999999995</v>
      </c>
      <c r="O742" s="88">
        <v>0</v>
      </c>
      <c r="P742" s="88">
        <v>7166.0685999999896</v>
      </c>
    </row>
    <row r="743" spans="2:16" hidden="1">
      <c r="B743" s="79"/>
      <c r="C743" s="79"/>
      <c r="D743" s="81" t="s">
        <v>179</v>
      </c>
      <c r="E743" s="87">
        <v>2011</v>
      </c>
      <c r="F743" s="88">
        <v>145.29680000000002</v>
      </c>
      <c r="G743" s="88">
        <v>125.72620000000002</v>
      </c>
      <c r="H743" s="88">
        <v>605.67830000000015</v>
      </c>
      <c r="I743" s="88">
        <v>704.72849999999971</v>
      </c>
      <c r="J743" s="88">
        <v>2788.1477999999993</v>
      </c>
      <c r="K743" s="88">
        <v>2399.5165000000002</v>
      </c>
      <c r="L743" s="88">
        <v>587.00160000000005</v>
      </c>
      <c r="M743" s="88">
        <v>257.26769999999999</v>
      </c>
      <c r="N743" s="88">
        <v>29.628700000000002</v>
      </c>
      <c r="O743" s="88">
        <v>0</v>
      </c>
      <c r="P743" s="88">
        <v>7642.9920999999804</v>
      </c>
    </row>
    <row r="744" spans="2:16" hidden="1">
      <c r="B744" s="79"/>
      <c r="C744" s="79"/>
      <c r="D744" s="81" t="s">
        <v>179</v>
      </c>
      <c r="E744" s="82">
        <v>2012</v>
      </c>
      <c r="F744" s="83">
        <v>135.82489999999999</v>
      </c>
      <c r="G744" s="83">
        <v>116.6845</v>
      </c>
      <c r="H744" s="83">
        <v>523.8198000000001</v>
      </c>
      <c r="I744" s="83">
        <v>623.4100000000002</v>
      </c>
      <c r="J744" s="83">
        <v>2805.4798999999975</v>
      </c>
      <c r="K744" s="83">
        <v>2552.1171999999997</v>
      </c>
      <c r="L744" s="83">
        <v>758.54199999999992</v>
      </c>
      <c r="M744" s="83">
        <v>269.27940000000012</v>
      </c>
      <c r="N744" s="83">
        <v>47.634</v>
      </c>
      <c r="O744" s="83">
        <v>0</v>
      </c>
      <c r="P744" s="83">
        <v>7832.7916999999952</v>
      </c>
    </row>
    <row r="745" spans="2:16" hidden="1">
      <c r="B745" s="79"/>
      <c r="C745" s="79"/>
      <c r="D745" s="77" t="s">
        <v>119</v>
      </c>
      <c r="E745" s="87">
        <v>2005</v>
      </c>
      <c r="F745" s="88">
        <v>4285.2656999999972</v>
      </c>
      <c r="G745" s="88">
        <v>11778.574699999983</v>
      </c>
      <c r="H745" s="88">
        <v>13157.797800000002</v>
      </c>
      <c r="I745" s="88">
        <v>14912.093599999966</v>
      </c>
      <c r="J745" s="88">
        <v>17688.717299999949</v>
      </c>
      <c r="K745" s="88">
        <v>15018.954399999991</v>
      </c>
      <c r="L745" s="88">
        <v>678.03679999999997</v>
      </c>
      <c r="M745" s="88">
        <v>544.84810000000004</v>
      </c>
      <c r="N745" s="88">
        <v>283.05770000000001</v>
      </c>
      <c r="O745" s="88">
        <v>5.6273999999999997</v>
      </c>
      <c r="P745" s="88">
        <v>78352.97350000008</v>
      </c>
    </row>
    <row r="746" spans="2:16" hidden="1">
      <c r="B746" s="79"/>
      <c r="C746" s="79"/>
      <c r="D746" s="81" t="s">
        <v>119</v>
      </c>
      <c r="E746" s="87">
        <v>2006</v>
      </c>
      <c r="F746" s="88">
        <v>3265.0368000000017</v>
      </c>
      <c r="G746" s="88">
        <v>11319.966000000002</v>
      </c>
      <c r="H746" s="88">
        <v>13217.54789999996</v>
      </c>
      <c r="I746" s="88">
        <v>15332.726099999983</v>
      </c>
      <c r="J746" s="88">
        <v>16075.888499999968</v>
      </c>
      <c r="K746" s="88">
        <v>14501.921099999987</v>
      </c>
      <c r="L746" s="88">
        <v>607.03670000000022</v>
      </c>
      <c r="M746" s="88">
        <v>544.03719999999998</v>
      </c>
      <c r="N746" s="88">
        <v>286.97000000000003</v>
      </c>
      <c r="O746" s="88">
        <v>6.8743999999999996</v>
      </c>
      <c r="P746" s="88">
        <v>75158.004700000107</v>
      </c>
    </row>
    <row r="747" spans="2:16" hidden="1">
      <c r="B747" s="79"/>
      <c r="C747" s="79"/>
      <c r="D747" s="81" t="s">
        <v>119</v>
      </c>
      <c r="E747" s="87">
        <v>2007</v>
      </c>
      <c r="F747" s="88">
        <v>2584.9355000000032</v>
      </c>
      <c r="G747" s="88">
        <v>12096.20080000001</v>
      </c>
      <c r="H747" s="88">
        <v>13949.909799999983</v>
      </c>
      <c r="I747" s="88">
        <v>16038.287899999988</v>
      </c>
      <c r="J747" s="88">
        <v>15873.904799999966</v>
      </c>
      <c r="K747" s="88">
        <v>14318.339199999984</v>
      </c>
      <c r="L747" s="88">
        <v>626.71299999999997</v>
      </c>
      <c r="M747" s="88">
        <v>529.41279999999995</v>
      </c>
      <c r="N747" s="88">
        <v>265.98680000000002</v>
      </c>
      <c r="O747" s="88">
        <v>7.5609999999999999</v>
      </c>
      <c r="P747" s="88">
        <v>76291.251600000149</v>
      </c>
    </row>
    <row r="748" spans="2:16" hidden="1">
      <c r="B748" s="79"/>
      <c r="C748" s="79"/>
      <c r="D748" s="81" t="s">
        <v>119</v>
      </c>
      <c r="E748" s="87">
        <v>2008</v>
      </c>
      <c r="F748" s="88">
        <v>1341.4493999999995</v>
      </c>
      <c r="G748" s="88">
        <v>10798.513499999965</v>
      </c>
      <c r="H748" s="88">
        <v>13604.924899999989</v>
      </c>
      <c r="I748" s="88">
        <v>15763.813499999986</v>
      </c>
      <c r="J748" s="88">
        <v>15577.427699999967</v>
      </c>
      <c r="K748" s="88">
        <v>14447.129199999996</v>
      </c>
      <c r="L748" s="88">
        <v>770.89549999999974</v>
      </c>
      <c r="M748" s="88">
        <v>534.57870000000003</v>
      </c>
      <c r="N748" s="88">
        <v>273.73219999999998</v>
      </c>
      <c r="O748" s="88">
        <v>8.6069999999999993</v>
      </c>
      <c r="P748" s="88">
        <v>73121.071599999894</v>
      </c>
    </row>
    <row r="749" spans="2:16" hidden="1">
      <c r="B749" s="79"/>
      <c r="C749" s="79"/>
      <c r="D749" s="81" t="s">
        <v>119</v>
      </c>
      <c r="E749" s="87">
        <v>2009</v>
      </c>
      <c r="F749" s="88">
        <v>1304.4570999999999</v>
      </c>
      <c r="G749" s="88">
        <v>10794.118000000002</v>
      </c>
      <c r="H749" s="88">
        <v>14418.197799999982</v>
      </c>
      <c r="I749" s="88">
        <v>16593.625600000003</v>
      </c>
      <c r="J749" s="88">
        <v>17381.564999999962</v>
      </c>
      <c r="K749" s="88">
        <v>16018.069600000001</v>
      </c>
      <c r="L749" s="88">
        <v>909.68779999999992</v>
      </c>
      <c r="M749" s="88">
        <v>646.17119999999977</v>
      </c>
      <c r="N749" s="88">
        <v>304.71159999999992</v>
      </c>
      <c r="O749" s="88">
        <v>4.7685999999999993</v>
      </c>
      <c r="P749" s="88">
        <v>78375.372299999959</v>
      </c>
    </row>
    <row r="750" spans="2:16" hidden="1">
      <c r="B750" s="79"/>
      <c r="C750" s="79"/>
      <c r="D750" s="81" t="s">
        <v>119</v>
      </c>
      <c r="E750" s="87">
        <v>2010</v>
      </c>
      <c r="F750" s="88">
        <v>1467.7312999999999</v>
      </c>
      <c r="G750" s="88">
        <v>9979.0325000000084</v>
      </c>
      <c r="H750" s="88">
        <v>14634.180499999995</v>
      </c>
      <c r="I750" s="88">
        <v>15895.736500000003</v>
      </c>
      <c r="J750" s="88">
        <v>18202.854099999946</v>
      </c>
      <c r="K750" s="88">
        <v>18257.14859999999</v>
      </c>
      <c r="L750" s="88">
        <v>1073.1181999999999</v>
      </c>
      <c r="M750" s="88">
        <v>775.26409999999987</v>
      </c>
      <c r="N750" s="88">
        <v>329.94219999999996</v>
      </c>
      <c r="O750" s="88">
        <v>4.2523999999999997</v>
      </c>
      <c r="P750" s="88">
        <v>80619.260399999883</v>
      </c>
    </row>
    <row r="751" spans="2:16" hidden="1">
      <c r="B751" s="79"/>
      <c r="C751" s="79"/>
      <c r="D751" s="81" t="s">
        <v>119</v>
      </c>
      <c r="E751" s="87">
        <v>2011</v>
      </c>
      <c r="F751" s="88">
        <v>1502.5651000000003</v>
      </c>
      <c r="G751" s="88">
        <v>9221.5006000000103</v>
      </c>
      <c r="H751" s="88">
        <v>13028.997300000012</v>
      </c>
      <c r="I751" s="88">
        <v>14449.727099999998</v>
      </c>
      <c r="J751" s="88">
        <v>17455.302999999953</v>
      </c>
      <c r="K751" s="88">
        <v>20328.979699999993</v>
      </c>
      <c r="L751" s="88">
        <v>1200.5856999999999</v>
      </c>
      <c r="M751" s="88">
        <v>778.36119999999994</v>
      </c>
      <c r="N751" s="88">
        <v>369.07819999999992</v>
      </c>
      <c r="O751" s="88">
        <v>5.3452999999999999</v>
      </c>
      <c r="P751" s="88">
        <v>78340.443199999849</v>
      </c>
    </row>
    <row r="752" spans="2:16" hidden="1">
      <c r="B752" s="89"/>
      <c r="C752" s="89"/>
      <c r="D752" s="81" t="s">
        <v>119</v>
      </c>
      <c r="E752" s="82">
        <v>2012</v>
      </c>
      <c r="F752" s="83">
        <v>1649.9213000000002</v>
      </c>
      <c r="G752" s="83">
        <v>8678.0855000000065</v>
      </c>
      <c r="H752" s="83">
        <v>13835.756799999996</v>
      </c>
      <c r="I752" s="83">
        <v>15170.689500000004</v>
      </c>
      <c r="J752" s="83">
        <v>16867.004499999959</v>
      </c>
      <c r="K752" s="83">
        <v>21488.213999999989</v>
      </c>
      <c r="L752" s="83">
        <v>1413.0108999999993</v>
      </c>
      <c r="M752" s="83">
        <v>850.10080000000005</v>
      </c>
      <c r="N752" s="83">
        <v>389.88559999999995</v>
      </c>
      <c r="O752" s="83">
        <v>7.0709999999999997</v>
      </c>
      <c r="P752" s="83">
        <v>80349.739899999884</v>
      </c>
    </row>
    <row r="753" spans="2:16" hidden="1">
      <c r="B753" s="79" t="s">
        <v>202</v>
      </c>
      <c r="C753" s="76" t="s">
        <v>203</v>
      </c>
      <c r="D753" s="77" t="s">
        <v>179</v>
      </c>
      <c r="E753" s="85">
        <v>2005</v>
      </c>
      <c r="F753" s="86">
        <v>0</v>
      </c>
      <c r="G753" s="86">
        <v>0</v>
      </c>
      <c r="H753" s="86">
        <v>82.6828</v>
      </c>
      <c r="I753" s="86">
        <v>109.60050000000001</v>
      </c>
      <c r="J753" s="86">
        <v>537.83050000000003</v>
      </c>
      <c r="K753" s="86">
        <v>1478.5262999999998</v>
      </c>
      <c r="L753" s="86">
        <v>442.9426000000002</v>
      </c>
      <c r="M753" s="86">
        <v>19.830299999999998</v>
      </c>
      <c r="N753" s="86">
        <v>38.140500000000003</v>
      </c>
      <c r="O753" s="86">
        <v>0</v>
      </c>
      <c r="P753" s="86">
        <v>2709.5534999999995</v>
      </c>
    </row>
    <row r="754" spans="2:16" hidden="1">
      <c r="B754" s="79"/>
      <c r="C754" s="79"/>
      <c r="D754" s="81" t="s">
        <v>180</v>
      </c>
      <c r="E754" s="87">
        <v>2006</v>
      </c>
      <c r="F754" s="88">
        <v>0</v>
      </c>
      <c r="G754" s="88">
        <v>0</v>
      </c>
      <c r="H754" s="88">
        <v>154.12580000000003</v>
      </c>
      <c r="I754" s="88">
        <v>89.525400000000019</v>
      </c>
      <c r="J754" s="88">
        <v>585.09479999999996</v>
      </c>
      <c r="K754" s="88">
        <v>1479.8169000000014</v>
      </c>
      <c r="L754" s="88">
        <v>327.29260000000005</v>
      </c>
      <c r="M754" s="88">
        <v>35.867800000000003</v>
      </c>
      <c r="N754" s="88">
        <v>33.197500000000005</v>
      </c>
      <c r="O754" s="88">
        <v>0</v>
      </c>
      <c r="P754" s="88">
        <v>2704.9208000000017</v>
      </c>
    </row>
    <row r="755" spans="2:16" hidden="1">
      <c r="B755" s="79"/>
      <c r="C755" s="79"/>
      <c r="D755" s="81" t="s">
        <v>180</v>
      </c>
      <c r="E755" s="87">
        <v>2007</v>
      </c>
      <c r="F755" s="88">
        <v>0</v>
      </c>
      <c r="G755" s="88">
        <v>0</v>
      </c>
      <c r="H755" s="88">
        <v>0</v>
      </c>
      <c r="I755" s="88">
        <v>0</v>
      </c>
      <c r="J755" s="88">
        <v>0</v>
      </c>
      <c r="K755" s="88">
        <v>0</v>
      </c>
      <c r="L755" s="88">
        <v>0</v>
      </c>
      <c r="M755" s="88">
        <v>0</v>
      </c>
      <c r="N755" s="88">
        <v>0</v>
      </c>
      <c r="O755" s="88">
        <v>0</v>
      </c>
      <c r="P755" s="88">
        <v>0</v>
      </c>
    </row>
    <row r="756" spans="2:16" hidden="1">
      <c r="B756" s="79"/>
      <c r="C756" s="79"/>
      <c r="D756" s="81" t="s">
        <v>180</v>
      </c>
      <c r="E756" s="87">
        <v>2008</v>
      </c>
      <c r="F756" s="88">
        <v>0</v>
      </c>
      <c r="G756" s="88">
        <v>0</v>
      </c>
      <c r="H756" s="88">
        <v>0</v>
      </c>
      <c r="I756" s="88">
        <v>0</v>
      </c>
      <c r="J756" s="88">
        <v>0</v>
      </c>
      <c r="K756" s="88">
        <v>0</v>
      </c>
      <c r="L756" s="88">
        <v>0</v>
      </c>
      <c r="M756" s="88">
        <v>0</v>
      </c>
      <c r="N756" s="88">
        <v>0</v>
      </c>
      <c r="O756" s="88">
        <v>0</v>
      </c>
      <c r="P756" s="88">
        <v>0</v>
      </c>
    </row>
    <row r="757" spans="2:16" hidden="1">
      <c r="B757" s="79"/>
      <c r="C757" s="79"/>
      <c r="D757" s="81" t="s">
        <v>180</v>
      </c>
      <c r="E757" s="87">
        <v>2009</v>
      </c>
      <c r="F757" s="88">
        <v>0</v>
      </c>
      <c r="G757" s="88">
        <v>0</v>
      </c>
      <c r="H757" s="88">
        <v>0</v>
      </c>
      <c r="I757" s="88">
        <v>0</v>
      </c>
      <c r="J757" s="88">
        <v>0</v>
      </c>
      <c r="K757" s="88">
        <v>0</v>
      </c>
      <c r="L757" s="88">
        <v>0</v>
      </c>
      <c r="M757" s="88">
        <v>0</v>
      </c>
      <c r="N757" s="88">
        <v>0</v>
      </c>
      <c r="O757" s="88">
        <v>0</v>
      </c>
      <c r="P757" s="88">
        <v>0</v>
      </c>
    </row>
    <row r="758" spans="2:16" hidden="1">
      <c r="B758" s="79"/>
      <c r="C758" s="79"/>
      <c r="D758" s="81" t="s">
        <v>180</v>
      </c>
      <c r="E758" s="87">
        <v>2010</v>
      </c>
      <c r="F758" s="88">
        <v>0</v>
      </c>
      <c r="G758" s="88">
        <v>0</v>
      </c>
      <c r="H758" s="88">
        <v>0</v>
      </c>
      <c r="I758" s="88">
        <v>0</v>
      </c>
      <c r="J758" s="88">
        <v>0</v>
      </c>
      <c r="K758" s="88">
        <v>0</v>
      </c>
      <c r="L758" s="88">
        <v>0</v>
      </c>
      <c r="M758" s="88">
        <v>0</v>
      </c>
      <c r="N758" s="88">
        <v>0</v>
      </c>
      <c r="O758" s="88">
        <v>0</v>
      </c>
      <c r="P758" s="88">
        <v>0</v>
      </c>
    </row>
    <row r="759" spans="2:16" hidden="1">
      <c r="B759" s="79"/>
      <c r="C759" s="79"/>
      <c r="D759" s="81" t="s">
        <v>180</v>
      </c>
      <c r="E759" s="87">
        <v>2011</v>
      </c>
      <c r="F759" s="88">
        <v>0</v>
      </c>
      <c r="G759" s="88">
        <v>0</v>
      </c>
      <c r="H759" s="88">
        <v>0</v>
      </c>
      <c r="I759" s="88">
        <v>0</v>
      </c>
      <c r="J759" s="88">
        <v>0</v>
      </c>
      <c r="K759" s="88">
        <v>0</v>
      </c>
      <c r="L759" s="88">
        <v>0</v>
      </c>
      <c r="M759" s="88">
        <v>0</v>
      </c>
      <c r="N759" s="88">
        <v>0</v>
      </c>
      <c r="O759" s="88">
        <v>0</v>
      </c>
      <c r="P759" s="88">
        <v>0</v>
      </c>
    </row>
    <row r="760" spans="2:16" hidden="1">
      <c r="B760" s="79"/>
      <c r="C760" s="79"/>
      <c r="D760" s="81" t="s">
        <v>180</v>
      </c>
      <c r="E760" s="82">
        <v>2012</v>
      </c>
      <c r="F760" s="83">
        <v>0</v>
      </c>
      <c r="G760" s="83">
        <v>0</v>
      </c>
      <c r="H760" s="83">
        <v>0</v>
      </c>
      <c r="I760" s="83">
        <v>0</v>
      </c>
      <c r="J760" s="83">
        <v>0</v>
      </c>
      <c r="K760" s="83">
        <v>0</v>
      </c>
      <c r="L760" s="83">
        <v>0</v>
      </c>
      <c r="M760" s="83">
        <v>0</v>
      </c>
      <c r="N760" s="83">
        <v>0</v>
      </c>
      <c r="O760" s="83">
        <v>0</v>
      </c>
      <c r="P760" s="83">
        <v>0</v>
      </c>
    </row>
    <row r="761" spans="2:16" hidden="1">
      <c r="B761" s="79"/>
      <c r="C761" s="79"/>
      <c r="D761" s="77" t="s">
        <v>180</v>
      </c>
      <c r="E761" s="87">
        <v>2005</v>
      </c>
      <c r="F761" s="88">
        <v>0</v>
      </c>
      <c r="G761" s="88">
        <v>0</v>
      </c>
      <c r="H761" s="88">
        <v>0</v>
      </c>
      <c r="I761" s="88">
        <v>0.74880000000000002</v>
      </c>
      <c r="J761" s="88">
        <v>167.26389999999998</v>
      </c>
      <c r="K761" s="88">
        <v>47.079700000000003</v>
      </c>
      <c r="L761" s="88">
        <v>38.736900000000006</v>
      </c>
      <c r="M761" s="88">
        <v>0</v>
      </c>
      <c r="N761" s="88">
        <v>2.5581000000000005</v>
      </c>
      <c r="O761" s="88">
        <v>0</v>
      </c>
      <c r="P761" s="88">
        <v>256.38740000000001</v>
      </c>
    </row>
    <row r="762" spans="2:16" hidden="1">
      <c r="B762" s="79"/>
      <c r="C762" s="79"/>
      <c r="D762" s="81" t="s">
        <v>179</v>
      </c>
      <c r="E762" s="87">
        <v>2006</v>
      </c>
      <c r="F762" s="88">
        <v>0</v>
      </c>
      <c r="G762" s="88">
        <v>0</v>
      </c>
      <c r="H762" s="88">
        <v>0.125</v>
      </c>
      <c r="I762" s="88">
        <v>0.66730000000000012</v>
      </c>
      <c r="J762" s="88">
        <v>80.250799999999998</v>
      </c>
      <c r="K762" s="88">
        <v>33.283000000000001</v>
      </c>
      <c r="L762" s="88">
        <v>34.248800000000003</v>
      </c>
      <c r="M762" s="88">
        <v>0</v>
      </c>
      <c r="N762" s="88">
        <v>6.5425000000000004</v>
      </c>
      <c r="O762" s="88">
        <v>0</v>
      </c>
      <c r="P762" s="88">
        <v>155.1174</v>
      </c>
    </row>
    <row r="763" spans="2:16" hidden="1">
      <c r="B763" s="79"/>
      <c r="C763" s="79"/>
      <c r="D763" s="81" t="s">
        <v>179</v>
      </c>
      <c r="E763" s="87">
        <v>2007</v>
      </c>
      <c r="F763" s="88">
        <v>0</v>
      </c>
      <c r="G763" s="88">
        <v>0</v>
      </c>
      <c r="H763" s="88">
        <v>0</v>
      </c>
      <c r="I763" s="88">
        <v>0</v>
      </c>
      <c r="J763" s="88">
        <v>0</v>
      </c>
      <c r="K763" s="88">
        <v>0</v>
      </c>
      <c r="L763" s="88">
        <v>0</v>
      </c>
      <c r="M763" s="88">
        <v>0</v>
      </c>
      <c r="N763" s="88">
        <v>0</v>
      </c>
      <c r="O763" s="88">
        <v>0</v>
      </c>
      <c r="P763" s="88">
        <v>0</v>
      </c>
    </row>
    <row r="764" spans="2:16" hidden="1">
      <c r="B764" s="79"/>
      <c r="C764" s="79"/>
      <c r="D764" s="81" t="s">
        <v>179</v>
      </c>
      <c r="E764" s="87">
        <v>2008</v>
      </c>
      <c r="F764" s="88">
        <v>0</v>
      </c>
      <c r="G764" s="88">
        <v>0</v>
      </c>
      <c r="H764" s="88">
        <v>0</v>
      </c>
      <c r="I764" s="88">
        <v>0</v>
      </c>
      <c r="J764" s="88">
        <v>0</v>
      </c>
      <c r="K764" s="88">
        <v>0</v>
      </c>
      <c r="L764" s="88">
        <v>0</v>
      </c>
      <c r="M764" s="88">
        <v>0</v>
      </c>
      <c r="N764" s="88">
        <v>0</v>
      </c>
      <c r="O764" s="88">
        <v>0</v>
      </c>
      <c r="P764" s="88">
        <v>0</v>
      </c>
    </row>
    <row r="765" spans="2:16" hidden="1">
      <c r="B765" s="79"/>
      <c r="C765" s="79"/>
      <c r="D765" s="81" t="s">
        <v>179</v>
      </c>
      <c r="E765" s="87">
        <v>2009</v>
      </c>
      <c r="F765" s="88">
        <v>0</v>
      </c>
      <c r="G765" s="88">
        <v>0</v>
      </c>
      <c r="H765" s="88">
        <v>0</v>
      </c>
      <c r="I765" s="88">
        <v>0</v>
      </c>
      <c r="J765" s="88">
        <v>0</v>
      </c>
      <c r="K765" s="88">
        <v>0</v>
      </c>
      <c r="L765" s="88">
        <v>0</v>
      </c>
      <c r="M765" s="88">
        <v>0</v>
      </c>
      <c r="N765" s="88">
        <v>0</v>
      </c>
      <c r="O765" s="88">
        <v>0</v>
      </c>
      <c r="P765" s="88">
        <v>0</v>
      </c>
    </row>
    <row r="766" spans="2:16" hidden="1">
      <c r="B766" s="79"/>
      <c r="C766" s="79"/>
      <c r="D766" s="81" t="s">
        <v>179</v>
      </c>
      <c r="E766" s="87">
        <v>2010</v>
      </c>
      <c r="F766" s="88">
        <v>0</v>
      </c>
      <c r="G766" s="88">
        <v>0</v>
      </c>
      <c r="H766" s="88">
        <v>0</v>
      </c>
      <c r="I766" s="88">
        <v>0</v>
      </c>
      <c r="J766" s="88">
        <v>0</v>
      </c>
      <c r="K766" s="88">
        <v>0</v>
      </c>
      <c r="L766" s="88">
        <v>0</v>
      </c>
      <c r="M766" s="88">
        <v>0</v>
      </c>
      <c r="N766" s="88">
        <v>0</v>
      </c>
      <c r="O766" s="88">
        <v>0</v>
      </c>
      <c r="P766" s="88">
        <v>0</v>
      </c>
    </row>
    <row r="767" spans="2:16" hidden="1">
      <c r="B767" s="79"/>
      <c r="C767" s="79"/>
      <c r="D767" s="81" t="s">
        <v>179</v>
      </c>
      <c r="E767" s="87">
        <v>2011</v>
      </c>
      <c r="F767" s="88">
        <v>0</v>
      </c>
      <c r="G767" s="88">
        <v>0</v>
      </c>
      <c r="H767" s="88">
        <v>0</v>
      </c>
      <c r="I767" s="88">
        <v>0</v>
      </c>
      <c r="J767" s="88">
        <v>0</v>
      </c>
      <c r="K767" s="88">
        <v>0</v>
      </c>
      <c r="L767" s="88">
        <v>0</v>
      </c>
      <c r="M767" s="88">
        <v>0</v>
      </c>
      <c r="N767" s="88">
        <v>0</v>
      </c>
      <c r="O767" s="88">
        <v>0</v>
      </c>
      <c r="P767" s="88">
        <v>0</v>
      </c>
    </row>
    <row r="768" spans="2:16" hidden="1">
      <c r="B768" s="79"/>
      <c r="C768" s="79"/>
      <c r="D768" s="81" t="s">
        <v>179</v>
      </c>
      <c r="E768" s="82">
        <v>2012</v>
      </c>
      <c r="F768" s="83">
        <v>0</v>
      </c>
      <c r="G768" s="83">
        <v>0</v>
      </c>
      <c r="H768" s="83">
        <v>0</v>
      </c>
      <c r="I768" s="83">
        <v>0</v>
      </c>
      <c r="J768" s="83">
        <v>0</v>
      </c>
      <c r="K768" s="83">
        <v>0</v>
      </c>
      <c r="L768" s="83">
        <v>0</v>
      </c>
      <c r="M768" s="83">
        <v>0</v>
      </c>
      <c r="N768" s="83">
        <v>0</v>
      </c>
      <c r="O768" s="83">
        <v>0</v>
      </c>
      <c r="P768" s="83">
        <v>0</v>
      </c>
    </row>
    <row r="769" spans="2:16" hidden="1">
      <c r="B769" s="79"/>
      <c r="C769" s="79"/>
      <c r="D769" s="77" t="s">
        <v>119</v>
      </c>
      <c r="E769" s="87">
        <v>2005</v>
      </c>
      <c r="F769" s="88">
        <v>0</v>
      </c>
      <c r="G769" s="88">
        <v>0</v>
      </c>
      <c r="H769" s="88">
        <v>82.6828</v>
      </c>
      <c r="I769" s="88">
        <v>110.34930000000001</v>
      </c>
      <c r="J769" s="88">
        <v>705.09439999999995</v>
      </c>
      <c r="K769" s="88">
        <v>1525.6059999999998</v>
      </c>
      <c r="L769" s="88">
        <v>481.67950000000019</v>
      </c>
      <c r="M769" s="88">
        <v>19.830299999999998</v>
      </c>
      <c r="N769" s="88">
        <v>40.698600000000006</v>
      </c>
      <c r="O769" s="88">
        <v>0</v>
      </c>
      <c r="P769" s="88">
        <v>2965.9408999999996</v>
      </c>
    </row>
    <row r="770" spans="2:16" hidden="1">
      <c r="B770" s="79"/>
      <c r="C770" s="79"/>
      <c r="D770" s="81" t="s">
        <v>119</v>
      </c>
      <c r="E770" s="87">
        <v>2006</v>
      </c>
      <c r="F770" s="88">
        <v>0</v>
      </c>
      <c r="G770" s="88">
        <v>0</v>
      </c>
      <c r="H770" s="88">
        <v>154.25080000000003</v>
      </c>
      <c r="I770" s="88">
        <v>90.192700000000016</v>
      </c>
      <c r="J770" s="88">
        <v>665.34559999999999</v>
      </c>
      <c r="K770" s="88">
        <v>1513.0999000000013</v>
      </c>
      <c r="L770" s="88">
        <v>361.54140000000007</v>
      </c>
      <c r="M770" s="88">
        <v>35.867800000000003</v>
      </c>
      <c r="N770" s="88">
        <v>39.740000000000009</v>
      </c>
      <c r="O770" s="88">
        <v>0</v>
      </c>
      <c r="P770" s="88">
        <v>2860.0382000000018</v>
      </c>
    </row>
    <row r="771" spans="2:16" hidden="1">
      <c r="B771" s="79"/>
      <c r="C771" s="79"/>
      <c r="D771" s="81" t="s">
        <v>119</v>
      </c>
      <c r="E771" s="87">
        <v>2007</v>
      </c>
      <c r="F771" s="88">
        <v>0</v>
      </c>
      <c r="G771" s="88">
        <v>0</v>
      </c>
      <c r="H771" s="88">
        <v>0</v>
      </c>
      <c r="I771" s="88">
        <v>0</v>
      </c>
      <c r="J771" s="88">
        <v>0</v>
      </c>
      <c r="K771" s="88">
        <v>0</v>
      </c>
      <c r="L771" s="88">
        <v>0</v>
      </c>
      <c r="M771" s="88">
        <v>0</v>
      </c>
      <c r="N771" s="88">
        <v>0</v>
      </c>
      <c r="O771" s="88">
        <v>0</v>
      </c>
      <c r="P771" s="88">
        <v>0</v>
      </c>
    </row>
    <row r="772" spans="2:16" hidden="1">
      <c r="B772" s="79"/>
      <c r="C772" s="79"/>
      <c r="D772" s="81" t="s">
        <v>119</v>
      </c>
      <c r="E772" s="87">
        <v>2008</v>
      </c>
      <c r="F772" s="88">
        <v>0</v>
      </c>
      <c r="G772" s="88">
        <v>0</v>
      </c>
      <c r="H772" s="88">
        <v>0</v>
      </c>
      <c r="I772" s="88">
        <v>0</v>
      </c>
      <c r="J772" s="88">
        <v>0</v>
      </c>
      <c r="K772" s="88">
        <v>0</v>
      </c>
      <c r="L772" s="88">
        <v>0</v>
      </c>
      <c r="M772" s="88">
        <v>0</v>
      </c>
      <c r="N772" s="88">
        <v>0</v>
      </c>
      <c r="O772" s="88">
        <v>0</v>
      </c>
      <c r="P772" s="88">
        <v>0</v>
      </c>
    </row>
    <row r="773" spans="2:16" hidden="1">
      <c r="B773" s="79"/>
      <c r="C773" s="79"/>
      <c r="D773" s="81" t="s">
        <v>119</v>
      </c>
      <c r="E773" s="87">
        <v>2009</v>
      </c>
      <c r="F773" s="88">
        <v>0</v>
      </c>
      <c r="G773" s="88">
        <v>0</v>
      </c>
      <c r="H773" s="88">
        <v>0</v>
      </c>
      <c r="I773" s="88">
        <v>0</v>
      </c>
      <c r="J773" s="88">
        <v>0</v>
      </c>
      <c r="K773" s="88">
        <v>0</v>
      </c>
      <c r="L773" s="88">
        <v>0</v>
      </c>
      <c r="M773" s="88">
        <v>0</v>
      </c>
      <c r="N773" s="88">
        <v>0</v>
      </c>
      <c r="O773" s="88">
        <v>0</v>
      </c>
      <c r="P773" s="88">
        <v>0</v>
      </c>
    </row>
    <row r="774" spans="2:16" hidden="1">
      <c r="B774" s="79"/>
      <c r="C774" s="79"/>
      <c r="D774" s="81" t="s">
        <v>119</v>
      </c>
      <c r="E774" s="87">
        <v>2010</v>
      </c>
      <c r="F774" s="88">
        <v>0</v>
      </c>
      <c r="G774" s="88">
        <v>0</v>
      </c>
      <c r="H774" s="88">
        <v>0</v>
      </c>
      <c r="I774" s="88">
        <v>0</v>
      </c>
      <c r="J774" s="88">
        <v>0</v>
      </c>
      <c r="K774" s="88">
        <v>0</v>
      </c>
      <c r="L774" s="88">
        <v>0</v>
      </c>
      <c r="M774" s="88">
        <v>0</v>
      </c>
      <c r="N774" s="88">
        <v>0</v>
      </c>
      <c r="O774" s="88">
        <v>0</v>
      </c>
      <c r="P774" s="88">
        <v>0</v>
      </c>
    </row>
    <row r="775" spans="2:16" hidden="1">
      <c r="B775" s="79"/>
      <c r="C775" s="79"/>
      <c r="D775" s="81" t="s">
        <v>119</v>
      </c>
      <c r="E775" s="87">
        <v>2011</v>
      </c>
      <c r="F775" s="88">
        <v>0</v>
      </c>
      <c r="G775" s="88">
        <v>0</v>
      </c>
      <c r="H775" s="88">
        <v>0</v>
      </c>
      <c r="I775" s="88">
        <v>0</v>
      </c>
      <c r="J775" s="88">
        <v>0</v>
      </c>
      <c r="K775" s="88">
        <v>0</v>
      </c>
      <c r="L775" s="88">
        <v>0</v>
      </c>
      <c r="M775" s="88">
        <v>0</v>
      </c>
      <c r="N775" s="88">
        <v>0</v>
      </c>
      <c r="O775" s="88">
        <v>0</v>
      </c>
      <c r="P775" s="88">
        <v>0</v>
      </c>
    </row>
    <row r="776" spans="2:16" hidden="1">
      <c r="B776" s="79"/>
      <c r="C776" s="89"/>
      <c r="D776" s="81" t="s">
        <v>119</v>
      </c>
      <c r="E776" s="82">
        <v>2012</v>
      </c>
      <c r="F776" s="83">
        <v>0</v>
      </c>
      <c r="G776" s="83">
        <v>0</v>
      </c>
      <c r="H776" s="83">
        <v>0</v>
      </c>
      <c r="I776" s="83">
        <v>0</v>
      </c>
      <c r="J776" s="83">
        <v>0</v>
      </c>
      <c r="K776" s="83">
        <v>0</v>
      </c>
      <c r="L776" s="83">
        <v>0</v>
      </c>
      <c r="M776" s="83">
        <v>0</v>
      </c>
      <c r="N776" s="83">
        <v>0</v>
      </c>
      <c r="O776" s="83">
        <v>0</v>
      </c>
      <c r="P776" s="83">
        <v>0</v>
      </c>
    </row>
    <row r="777" spans="2:16" hidden="1">
      <c r="B777" s="79"/>
      <c r="C777" s="76" t="s">
        <v>204</v>
      </c>
      <c r="D777" s="77" t="s">
        <v>179</v>
      </c>
      <c r="E777" s="85">
        <v>2005</v>
      </c>
      <c r="F777" s="86">
        <v>0</v>
      </c>
      <c r="G777" s="86">
        <v>0</v>
      </c>
      <c r="H777" s="86">
        <v>6.799599999999999</v>
      </c>
      <c r="I777" s="86">
        <v>0</v>
      </c>
      <c r="J777" s="86">
        <v>35.953100000000013</v>
      </c>
      <c r="K777" s="86">
        <v>712.53400000000022</v>
      </c>
      <c r="L777" s="86">
        <v>128.95449999999997</v>
      </c>
      <c r="M777" s="86">
        <v>16.583499999999997</v>
      </c>
      <c r="N777" s="86">
        <v>5.5</v>
      </c>
      <c r="O777" s="86">
        <v>0</v>
      </c>
      <c r="P777" s="86">
        <v>906.32470000000023</v>
      </c>
    </row>
    <row r="778" spans="2:16" hidden="1">
      <c r="B778" s="79"/>
      <c r="C778" s="79"/>
      <c r="D778" s="81" t="s">
        <v>180</v>
      </c>
      <c r="E778" s="87">
        <v>2006</v>
      </c>
      <c r="F778" s="88">
        <v>0</v>
      </c>
      <c r="G778" s="88">
        <v>0</v>
      </c>
      <c r="H778" s="88">
        <v>0</v>
      </c>
      <c r="I778" s="88">
        <v>3.4016999999999999</v>
      </c>
      <c r="J778" s="88">
        <v>80.575499999999991</v>
      </c>
      <c r="K778" s="88">
        <v>584.20540000000028</v>
      </c>
      <c r="L778" s="88">
        <v>158.36919999999998</v>
      </c>
      <c r="M778" s="88">
        <v>17.083299999999998</v>
      </c>
      <c r="N778" s="88">
        <v>6.75</v>
      </c>
      <c r="O778" s="88">
        <v>0</v>
      </c>
      <c r="P778" s="88">
        <v>850.38510000000008</v>
      </c>
    </row>
    <row r="779" spans="2:16" hidden="1">
      <c r="B779" s="79"/>
      <c r="C779" s="79"/>
      <c r="D779" s="81" t="s">
        <v>180</v>
      </c>
      <c r="E779" s="87">
        <v>2007</v>
      </c>
      <c r="F779" s="88">
        <v>0</v>
      </c>
      <c r="G779" s="88">
        <v>0</v>
      </c>
      <c r="H779" s="88">
        <v>0</v>
      </c>
      <c r="I779" s="88">
        <v>0</v>
      </c>
      <c r="J779" s="88">
        <v>0</v>
      </c>
      <c r="K779" s="88">
        <v>0</v>
      </c>
      <c r="L779" s="88">
        <v>0</v>
      </c>
      <c r="M779" s="88">
        <v>0</v>
      </c>
      <c r="N779" s="88">
        <v>0</v>
      </c>
      <c r="O779" s="88">
        <v>0</v>
      </c>
      <c r="P779" s="88">
        <v>0</v>
      </c>
    </row>
    <row r="780" spans="2:16" hidden="1">
      <c r="B780" s="79"/>
      <c r="C780" s="79"/>
      <c r="D780" s="81" t="s">
        <v>180</v>
      </c>
      <c r="E780" s="87">
        <v>2008</v>
      </c>
      <c r="F780" s="88">
        <v>0</v>
      </c>
      <c r="G780" s="88">
        <v>0</v>
      </c>
      <c r="H780" s="88">
        <v>0</v>
      </c>
      <c r="I780" s="88">
        <v>0</v>
      </c>
      <c r="J780" s="88">
        <v>0</v>
      </c>
      <c r="K780" s="88">
        <v>0</v>
      </c>
      <c r="L780" s="88">
        <v>0</v>
      </c>
      <c r="M780" s="88">
        <v>0</v>
      </c>
      <c r="N780" s="88">
        <v>0</v>
      </c>
      <c r="O780" s="88">
        <v>0</v>
      </c>
      <c r="P780" s="88">
        <v>0</v>
      </c>
    </row>
    <row r="781" spans="2:16" hidden="1">
      <c r="B781" s="79"/>
      <c r="C781" s="79"/>
      <c r="D781" s="81" t="s">
        <v>180</v>
      </c>
      <c r="E781" s="87">
        <v>2009</v>
      </c>
      <c r="F781" s="88">
        <v>0</v>
      </c>
      <c r="G781" s="88">
        <v>0</v>
      </c>
      <c r="H781" s="88">
        <v>0</v>
      </c>
      <c r="I781" s="88">
        <v>0</v>
      </c>
      <c r="J781" s="88">
        <v>0</v>
      </c>
      <c r="K781" s="88">
        <v>0</v>
      </c>
      <c r="L781" s="88">
        <v>0</v>
      </c>
      <c r="M781" s="88">
        <v>0</v>
      </c>
      <c r="N781" s="88">
        <v>0</v>
      </c>
      <c r="O781" s="88">
        <v>0</v>
      </c>
      <c r="P781" s="88">
        <v>0</v>
      </c>
    </row>
    <row r="782" spans="2:16" hidden="1">
      <c r="B782" s="79"/>
      <c r="C782" s="79"/>
      <c r="D782" s="81" t="s">
        <v>180</v>
      </c>
      <c r="E782" s="87">
        <v>2010</v>
      </c>
      <c r="F782" s="88">
        <v>0</v>
      </c>
      <c r="G782" s="88">
        <v>0</v>
      </c>
      <c r="H782" s="88">
        <v>0</v>
      </c>
      <c r="I782" s="88">
        <v>0</v>
      </c>
      <c r="J782" s="88">
        <v>0</v>
      </c>
      <c r="K782" s="88">
        <v>0</v>
      </c>
      <c r="L782" s="88">
        <v>0</v>
      </c>
      <c r="M782" s="88">
        <v>0</v>
      </c>
      <c r="N782" s="88">
        <v>0</v>
      </c>
      <c r="O782" s="88">
        <v>0</v>
      </c>
      <c r="P782" s="88">
        <v>0</v>
      </c>
    </row>
    <row r="783" spans="2:16" hidden="1">
      <c r="B783" s="79"/>
      <c r="C783" s="79"/>
      <c r="D783" s="81" t="s">
        <v>180</v>
      </c>
      <c r="E783" s="87">
        <v>2011</v>
      </c>
      <c r="F783" s="88">
        <v>0</v>
      </c>
      <c r="G783" s="88">
        <v>0</v>
      </c>
      <c r="H783" s="88">
        <v>0</v>
      </c>
      <c r="I783" s="88">
        <v>0</v>
      </c>
      <c r="J783" s="88">
        <v>0</v>
      </c>
      <c r="K783" s="88">
        <v>0</v>
      </c>
      <c r="L783" s="88">
        <v>0</v>
      </c>
      <c r="M783" s="88">
        <v>0</v>
      </c>
      <c r="N783" s="88">
        <v>0</v>
      </c>
      <c r="O783" s="88">
        <v>0</v>
      </c>
      <c r="P783" s="88">
        <v>0</v>
      </c>
    </row>
    <row r="784" spans="2:16" hidden="1">
      <c r="B784" s="79"/>
      <c r="C784" s="79"/>
      <c r="D784" s="81" t="s">
        <v>180</v>
      </c>
      <c r="E784" s="82">
        <v>2012</v>
      </c>
      <c r="F784" s="83">
        <v>0</v>
      </c>
      <c r="G784" s="83">
        <v>0</v>
      </c>
      <c r="H784" s="83">
        <v>0</v>
      </c>
      <c r="I784" s="83">
        <v>0</v>
      </c>
      <c r="J784" s="83">
        <v>0</v>
      </c>
      <c r="K784" s="83">
        <v>0</v>
      </c>
      <c r="L784" s="83">
        <v>0</v>
      </c>
      <c r="M784" s="83">
        <v>0</v>
      </c>
      <c r="N784" s="83">
        <v>0</v>
      </c>
      <c r="O784" s="83">
        <v>0</v>
      </c>
      <c r="P784" s="83">
        <v>0</v>
      </c>
    </row>
    <row r="785" spans="2:16" hidden="1">
      <c r="B785" s="79"/>
      <c r="C785" s="79"/>
      <c r="D785" s="77" t="s">
        <v>180</v>
      </c>
      <c r="E785" s="87">
        <v>2005</v>
      </c>
      <c r="F785" s="88">
        <v>0</v>
      </c>
      <c r="G785" s="88">
        <v>0</v>
      </c>
      <c r="H785" s="88">
        <v>0</v>
      </c>
      <c r="I785" s="88">
        <v>0</v>
      </c>
      <c r="J785" s="88">
        <v>3.1575000000000015</v>
      </c>
      <c r="K785" s="88">
        <v>10.002700000000001</v>
      </c>
      <c r="L785" s="88">
        <v>25.000500000000002</v>
      </c>
      <c r="M785" s="88">
        <v>2</v>
      </c>
      <c r="N785" s="88">
        <v>0</v>
      </c>
      <c r="O785" s="88">
        <v>0</v>
      </c>
      <c r="P785" s="88">
        <v>40.160699999999991</v>
      </c>
    </row>
    <row r="786" spans="2:16" hidden="1">
      <c r="B786" s="79"/>
      <c r="C786" s="79"/>
      <c r="D786" s="81" t="s">
        <v>179</v>
      </c>
      <c r="E786" s="87">
        <v>2006</v>
      </c>
      <c r="F786" s="88">
        <v>0</v>
      </c>
      <c r="G786" s="88">
        <v>0</v>
      </c>
      <c r="H786" s="88">
        <v>0</v>
      </c>
      <c r="I786" s="88">
        <v>1.3339999999999999</v>
      </c>
      <c r="J786" s="88">
        <v>1.7338999999999998</v>
      </c>
      <c r="K786" s="88">
        <v>5.8010000000000002</v>
      </c>
      <c r="L786" s="88">
        <v>21.479099999999999</v>
      </c>
      <c r="M786" s="88">
        <v>2.75</v>
      </c>
      <c r="N786" s="88">
        <v>2</v>
      </c>
      <c r="O786" s="88">
        <v>0</v>
      </c>
      <c r="P786" s="88">
        <v>35.098000000000006</v>
      </c>
    </row>
    <row r="787" spans="2:16" hidden="1">
      <c r="B787" s="79"/>
      <c r="C787" s="79"/>
      <c r="D787" s="81" t="s">
        <v>179</v>
      </c>
      <c r="E787" s="87">
        <v>2007</v>
      </c>
      <c r="F787" s="88">
        <v>0</v>
      </c>
      <c r="G787" s="88">
        <v>0</v>
      </c>
      <c r="H787" s="88">
        <v>0</v>
      </c>
      <c r="I787" s="88">
        <v>0</v>
      </c>
      <c r="J787" s="88">
        <v>0</v>
      </c>
      <c r="K787" s="88">
        <v>0</v>
      </c>
      <c r="L787" s="88">
        <v>0</v>
      </c>
      <c r="M787" s="88">
        <v>0</v>
      </c>
      <c r="N787" s="88">
        <v>0</v>
      </c>
      <c r="O787" s="88">
        <v>0</v>
      </c>
      <c r="P787" s="88">
        <v>0</v>
      </c>
    </row>
    <row r="788" spans="2:16" hidden="1">
      <c r="B788" s="79"/>
      <c r="C788" s="79"/>
      <c r="D788" s="81" t="s">
        <v>179</v>
      </c>
      <c r="E788" s="87">
        <v>2008</v>
      </c>
      <c r="F788" s="88">
        <v>0</v>
      </c>
      <c r="G788" s="88">
        <v>0</v>
      </c>
      <c r="H788" s="88">
        <v>0</v>
      </c>
      <c r="I788" s="88">
        <v>0</v>
      </c>
      <c r="J788" s="88">
        <v>0</v>
      </c>
      <c r="K788" s="88">
        <v>0</v>
      </c>
      <c r="L788" s="88">
        <v>0</v>
      </c>
      <c r="M788" s="88">
        <v>0</v>
      </c>
      <c r="N788" s="88">
        <v>0</v>
      </c>
      <c r="O788" s="88">
        <v>0</v>
      </c>
      <c r="P788" s="88">
        <v>0</v>
      </c>
    </row>
    <row r="789" spans="2:16" hidden="1">
      <c r="B789" s="79"/>
      <c r="C789" s="79"/>
      <c r="D789" s="81" t="s">
        <v>179</v>
      </c>
      <c r="E789" s="87">
        <v>2009</v>
      </c>
      <c r="F789" s="88">
        <v>0</v>
      </c>
      <c r="G789" s="88">
        <v>0</v>
      </c>
      <c r="H789" s="88">
        <v>0</v>
      </c>
      <c r="I789" s="88">
        <v>0</v>
      </c>
      <c r="J789" s="88">
        <v>0</v>
      </c>
      <c r="K789" s="88">
        <v>0</v>
      </c>
      <c r="L789" s="88">
        <v>0</v>
      </c>
      <c r="M789" s="88">
        <v>0</v>
      </c>
      <c r="N789" s="88">
        <v>0</v>
      </c>
      <c r="O789" s="88">
        <v>0</v>
      </c>
      <c r="P789" s="88">
        <v>0</v>
      </c>
    </row>
    <row r="790" spans="2:16" hidden="1">
      <c r="B790" s="79"/>
      <c r="C790" s="79"/>
      <c r="D790" s="81" t="s">
        <v>179</v>
      </c>
      <c r="E790" s="87">
        <v>2010</v>
      </c>
      <c r="F790" s="88">
        <v>0</v>
      </c>
      <c r="G790" s="88">
        <v>0</v>
      </c>
      <c r="H790" s="88">
        <v>0</v>
      </c>
      <c r="I790" s="88">
        <v>0</v>
      </c>
      <c r="J790" s="88">
        <v>0</v>
      </c>
      <c r="K790" s="88">
        <v>0</v>
      </c>
      <c r="L790" s="88">
        <v>0</v>
      </c>
      <c r="M790" s="88">
        <v>0</v>
      </c>
      <c r="N790" s="88">
        <v>0</v>
      </c>
      <c r="O790" s="88">
        <v>0</v>
      </c>
      <c r="P790" s="88">
        <v>0</v>
      </c>
    </row>
    <row r="791" spans="2:16" hidden="1">
      <c r="B791" s="79"/>
      <c r="C791" s="79"/>
      <c r="D791" s="81" t="s">
        <v>179</v>
      </c>
      <c r="E791" s="87">
        <v>2011</v>
      </c>
      <c r="F791" s="88">
        <v>0</v>
      </c>
      <c r="G791" s="88">
        <v>0</v>
      </c>
      <c r="H791" s="88">
        <v>0</v>
      </c>
      <c r="I791" s="88">
        <v>0</v>
      </c>
      <c r="J791" s="88">
        <v>0</v>
      </c>
      <c r="K791" s="88">
        <v>0</v>
      </c>
      <c r="L791" s="88">
        <v>0</v>
      </c>
      <c r="M791" s="88">
        <v>0</v>
      </c>
      <c r="N791" s="88">
        <v>0</v>
      </c>
      <c r="O791" s="88">
        <v>0</v>
      </c>
      <c r="P791" s="88">
        <v>0</v>
      </c>
    </row>
    <row r="792" spans="2:16" hidden="1">
      <c r="B792" s="79"/>
      <c r="C792" s="79"/>
      <c r="D792" s="81" t="s">
        <v>179</v>
      </c>
      <c r="E792" s="82">
        <v>2012</v>
      </c>
      <c r="F792" s="83">
        <v>0</v>
      </c>
      <c r="G792" s="83">
        <v>0</v>
      </c>
      <c r="H792" s="83">
        <v>0</v>
      </c>
      <c r="I792" s="83">
        <v>0</v>
      </c>
      <c r="J792" s="83">
        <v>0</v>
      </c>
      <c r="K792" s="83">
        <v>0</v>
      </c>
      <c r="L792" s="83">
        <v>0</v>
      </c>
      <c r="M792" s="83">
        <v>0</v>
      </c>
      <c r="N792" s="83">
        <v>0</v>
      </c>
      <c r="O792" s="83">
        <v>0</v>
      </c>
      <c r="P792" s="83">
        <v>0</v>
      </c>
    </row>
    <row r="793" spans="2:16" hidden="1">
      <c r="B793" s="79"/>
      <c r="C793" s="79"/>
      <c r="D793" s="77" t="s">
        <v>119</v>
      </c>
      <c r="E793" s="87">
        <v>2005</v>
      </c>
      <c r="F793" s="88">
        <v>0</v>
      </c>
      <c r="G793" s="88">
        <v>0</v>
      </c>
      <c r="H793" s="88">
        <v>6.799599999999999</v>
      </c>
      <c r="I793" s="88">
        <v>0</v>
      </c>
      <c r="J793" s="88">
        <v>39.110600000000012</v>
      </c>
      <c r="K793" s="88">
        <v>722.53670000000022</v>
      </c>
      <c r="L793" s="88">
        <v>153.95499999999998</v>
      </c>
      <c r="M793" s="88">
        <v>18.583499999999997</v>
      </c>
      <c r="N793" s="88">
        <v>5.5</v>
      </c>
      <c r="O793" s="88">
        <v>0</v>
      </c>
      <c r="P793" s="88">
        <v>946.48540000000025</v>
      </c>
    </row>
    <row r="794" spans="2:16" hidden="1">
      <c r="B794" s="79"/>
      <c r="C794" s="79"/>
      <c r="D794" s="81" t="s">
        <v>119</v>
      </c>
      <c r="E794" s="87">
        <v>2006</v>
      </c>
      <c r="F794" s="88">
        <v>0</v>
      </c>
      <c r="G794" s="88">
        <v>0</v>
      </c>
      <c r="H794" s="88">
        <v>0</v>
      </c>
      <c r="I794" s="88">
        <v>4.7356999999999996</v>
      </c>
      <c r="J794" s="88">
        <v>82.309399999999997</v>
      </c>
      <c r="K794" s="88">
        <v>590.00640000000033</v>
      </c>
      <c r="L794" s="88">
        <v>179.84829999999997</v>
      </c>
      <c r="M794" s="88">
        <v>19.833299999999998</v>
      </c>
      <c r="N794" s="88">
        <v>8.75</v>
      </c>
      <c r="O794" s="88">
        <v>0</v>
      </c>
      <c r="P794" s="88">
        <v>885.48310000000004</v>
      </c>
    </row>
    <row r="795" spans="2:16" hidden="1">
      <c r="B795" s="79"/>
      <c r="C795" s="79"/>
      <c r="D795" s="81" t="s">
        <v>119</v>
      </c>
      <c r="E795" s="87">
        <v>2007</v>
      </c>
      <c r="F795" s="88">
        <v>0</v>
      </c>
      <c r="G795" s="88">
        <v>0</v>
      </c>
      <c r="H795" s="88">
        <v>0</v>
      </c>
      <c r="I795" s="88">
        <v>0</v>
      </c>
      <c r="J795" s="88">
        <v>0</v>
      </c>
      <c r="K795" s="88">
        <v>0</v>
      </c>
      <c r="L795" s="88">
        <v>0</v>
      </c>
      <c r="M795" s="88">
        <v>0</v>
      </c>
      <c r="N795" s="88">
        <v>0</v>
      </c>
      <c r="O795" s="88">
        <v>0</v>
      </c>
      <c r="P795" s="88">
        <v>0</v>
      </c>
    </row>
    <row r="796" spans="2:16" hidden="1">
      <c r="B796" s="79"/>
      <c r="C796" s="79"/>
      <c r="D796" s="81" t="s">
        <v>119</v>
      </c>
      <c r="E796" s="87">
        <v>2008</v>
      </c>
      <c r="F796" s="88">
        <v>0</v>
      </c>
      <c r="G796" s="88">
        <v>0</v>
      </c>
      <c r="H796" s="88">
        <v>0</v>
      </c>
      <c r="I796" s="88">
        <v>0</v>
      </c>
      <c r="J796" s="88">
        <v>0</v>
      </c>
      <c r="K796" s="88">
        <v>0</v>
      </c>
      <c r="L796" s="88">
        <v>0</v>
      </c>
      <c r="M796" s="88">
        <v>0</v>
      </c>
      <c r="N796" s="88">
        <v>0</v>
      </c>
      <c r="O796" s="88">
        <v>0</v>
      </c>
      <c r="P796" s="88">
        <v>0</v>
      </c>
    </row>
    <row r="797" spans="2:16" hidden="1">
      <c r="B797" s="79"/>
      <c r="C797" s="79"/>
      <c r="D797" s="81" t="s">
        <v>119</v>
      </c>
      <c r="E797" s="87">
        <v>2009</v>
      </c>
      <c r="F797" s="88">
        <v>0</v>
      </c>
      <c r="G797" s="88">
        <v>0</v>
      </c>
      <c r="H797" s="88">
        <v>0</v>
      </c>
      <c r="I797" s="88">
        <v>0</v>
      </c>
      <c r="J797" s="88">
        <v>0</v>
      </c>
      <c r="K797" s="88">
        <v>0</v>
      </c>
      <c r="L797" s="88">
        <v>0</v>
      </c>
      <c r="M797" s="88">
        <v>0</v>
      </c>
      <c r="N797" s="88">
        <v>0</v>
      </c>
      <c r="O797" s="88">
        <v>0</v>
      </c>
      <c r="P797" s="88">
        <v>0</v>
      </c>
    </row>
    <row r="798" spans="2:16" hidden="1">
      <c r="B798" s="79"/>
      <c r="C798" s="79"/>
      <c r="D798" s="81" t="s">
        <v>119</v>
      </c>
      <c r="E798" s="87">
        <v>2010</v>
      </c>
      <c r="F798" s="88">
        <v>0</v>
      </c>
      <c r="G798" s="88">
        <v>0</v>
      </c>
      <c r="H798" s="88">
        <v>0</v>
      </c>
      <c r="I798" s="88">
        <v>0</v>
      </c>
      <c r="J798" s="88">
        <v>0</v>
      </c>
      <c r="K798" s="88">
        <v>0</v>
      </c>
      <c r="L798" s="88">
        <v>0</v>
      </c>
      <c r="M798" s="88">
        <v>0</v>
      </c>
      <c r="N798" s="88">
        <v>0</v>
      </c>
      <c r="O798" s="88">
        <v>0</v>
      </c>
      <c r="P798" s="88">
        <v>0</v>
      </c>
    </row>
    <row r="799" spans="2:16" hidden="1">
      <c r="B799" s="79"/>
      <c r="C799" s="79"/>
      <c r="D799" s="81" t="s">
        <v>119</v>
      </c>
      <c r="E799" s="87">
        <v>2011</v>
      </c>
      <c r="F799" s="88">
        <v>0</v>
      </c>
      <c r="G799" s="88">
        <v>0</v>
      </c>
      <c r="H799" s="88">
        <v>0</v>
      </c>
      <c r="I799" s="88">
        <v>0</v>
      </c>
      <c r="J799" s="88">
        <v>0</v>
      </c>
      <c r="K799" s="88">
        <v>0</v>
      </c>
      <c r="L799" s="88">
        <v>0</v>
      </c>
      <c r="M799" s="88">
        <v>0</v>
      </c>
      <c r="N799" s="88">
        <v>0</v>
      </c>
      <c r="O799" s="88">
        <v>0</v>
      </c>
      <c r="P799" s="88">
        <v>0</v>
      </c>
    </row>
    <row r="800" spans="2:16" hidden="1">
      <c r="B800" s="79"/>
      <c r="C800" s="89"/>
      <c r="D800" s="81" t="s">
        <v>119</v>
      </c>
      <c r="E800" s="82">
        <v>2012</v>
      </c>
      <c r="F800" s="83">
        <v>0</v>
      </c>
      <c r="G800" s="83">
        <v>0</v>
      </c>
      <c r="H800" s="83">
        <v>0</v>
      </c>
      <c r="I800" s="83">
        <v>0</v>
      </c>
      <c r="J800" s="83">
        <v>0</v>
      </c>
      <c r="K800" s="83">
        <v>0</v>
      </c>
      <c r="L800" s="83">
        <v>0</v>
      </c>
      <c r="M800" s="83">
        <v>0</v>
      </c>
      <c r="N800" s="83">
        <v>0</v>
      </c>
      <c r="O800" s="83">
        <v>0</v>
      </c>
      <c r="P800" s="83">
        <v>0</v>
      </c>
    </row>
    <row r="801" spans="2:16" hidden="1">
      <c r="B801" s="79"/>
      <c r="C801" s="76" t="s">
        <v>119</v>
      </c>
      <c r="D801" s="77" t="s">
        <v>179</v>
      </c>
      <c r="E801" s="85">
        <v>2005</v>
      </c>
      <c r="F801" s="86">
        <v>0</v>
      </c>
      <c r="G801" s="86">
        <v>0</v>
      </c>
      <c r="H801" s="86">
        <v>89.482400000000013</v>
      </c>
      <c r="I801" s="86">
        <v>109.60050000000003</v>
      </c>
      <c r="J801" s="86">
        <v>573.78359999999998</v>
      </c>
      <c r="K801" s="86">
        <v>2191.0602999999992</v>
      </c>
      <c r="L801" s="86">
        <v>571.89710000000025</v>
      </c>
      <c r="M801" s="86">
        <v>36.413799999999995</v>
      </c>
      <c r="N801" s="86">
        <v>43.640499999999996</v>
      </c>
      <c r="O801" s="86">
        <v>0</v>
      </c>
      <c r="P801" s="86">
        <v>3615.8782000000019</v>
      </c>
    </row>
    <row r="802" spans="2:16" hidden="1">
      <c r="B802" s="79"/>
      <c r="C802" s="79"/>
      <c r="D802" s="81" t="s">
        <v>180</v>
      </c>
      <c r="E802" s="87">
        <v>2006</v>
      </c>
      <c r="F802" s="88">
        <v>0</v>
      </c>
      <c r="G802" s="88">
        <v>0</v>
      </c>
      <c r="H802" s="88">
        <v>154.12580000000003</v>
      </c>
      <c r="I802" s="88">
        <v>92.927099999999996</v>
      </c>
      <c r="J802" s="88">
        <v>665.67029999999977</v>
      </c>
      <c r="K802" s="88">
        <v>2064.0222999999996</v>
      </c>
      <c r="L802" s="88">
        <v>485.66179999999991</v>
      </c>
      <c r="M802" s="88">
        <v>52.951100000000004</v>
      </c>
      <c r="N802" s="88">
        <v>39.947499999999998</v>
      </c>
      <c r="O802" s="88">
        <v>0</v>
      </c>
      <c r="P802" s="88">
        <v>3555.3058999999989</v>
      </c>
    </row>
    <row r="803" spans="2:16" hidden="1">
      <c r="B803" s="79"/>
      <c r="C803" s="79"/>
      <c r="D803" s="81" t="s">
        <v>180</v>
      </c>
      <c r="E803" s="87">
        <v>2007</v>
      </c>
      <c r="F803" s="88">
        <v>0</v>
      </c>
      <c r="G803" s="88">
        <v>0</v>
      </c>
      <c r="H803" s="88">
        <v>0</v>
      </c>
      <c r="I803" s="88">
        <v>0</v>
      </c>
      <c r="J803" s="88">
        <v>0</v>
      </c>
      <c r="K803" s="88">
        <v>0</v>
      </c>
      <c r="L803" s="88">
        <v>0</v>
      </c>
      <c r="M803" s="88">
        <v>0</v>
      </c>
      <c r="N803" s="88">
        <v>0</v>
      </c>
      <c r="O803" s="88">
        <v>0</v>
      </c>
      <c r="P803" s="88">
        <v>0</v>
      </c>
    </row>
    <row r="804" spans="2:16" hidden="1">
      <c r="B804" s="79"/>
      <c r="C804" s="79"/>
      <c r="D804" s="81" t="s">
        <v>180</v>
      </c>
      <c r="E804" s="87">
        <v>2008</v>
      </c>
      <c r="F804" s="88">
        <v>0</v>
      </c>
      <c r="G804" s="88">
        <v>0</v>
      </c>
      <c r="H804" s="88">
        <v>0</v>
      </c>
      <c r="I804" s="88">
        <v>0</v>
      </c>
      <c r="J804" s="88">
        <v>0</v>
      </c>
      <c r="K804" s="88">
        <v>0</v>
      </c>
      <c r="L804" s="88">
        <v>0</v>
      </c>
      <c r="M804" s="88">
        <v>0</v>
      </c>
      <c r="N804" s="88">
        <v>0</v>
      </c>
      <c r="O804" s="88">
        <v>0</v>
      </c>
      <c r="P804" s="88">
        <v>0</v>
      </c>
    </row>
    <row r="805" spans="2:16" hidden="1">
      <c r="B805" s="79"/>
      <c r="C805" s="79"/>
      <c r="D805" s="81" t="s">
        <v>180</v>
      </c>
      <c r="E805" s="87">
        <v>2009</v>
      </c>
      <c r="F805" s="88">
        <v>0</v>
      </c>
      <c r="G805" s="88">
        <v>0</v>
      </c>
      <c r="H805" s="88">
        <v>0</v>
      </c>
      <c r="I805" s="88">
        <v>0</v>
      </c>
      <c r="J805" s="88">
        <v>0</v>
      </c>
      <c r="K805" s="88">
        <v>0</v>
      </c>
      <c r="L805" s="88">
        <v>0</v>
      </c>
      <c r="M805" s="88">
        <v>0</v>
      </c>
      <c r="N805" s="88">
        <v>0</v>
      </c>
      <c r="O805" s="88">
        <v>0</v>
      </c>
      <c r="P805" s="88">
        <v>0</v>
      </c>
    </row>
    <row r="806" spans="2:16" hidden="1">
      <c r="B806" s="79"/>
      <c r="C806" s="79"/>
      <c r="D806" s="81" t="s">
        <v>180</v>
      </c>
      <c r="E806" s="87">
        <v>2010</v>
      </c>
      <c r="F806" s="88">
        <v>0</v>
      </c>
      <c r="G806" s="88">
        <v>0</v>
      </c>
      <c r="H806" s="88">
        <v>0</v>
      </c>
      <c r="I806" s="88">
        <v>0</v>
      </c>
      <c r="J806" s="88">
        <v>0</v>
      </c>
      <c r="K806" s="88">
        <v>0</v>
      </c>
      <c r="L806" s="88">
        <v>0</v>
      </c>
      <c r="M806" s="88">
        <v>0</v>
      </c>
      <c r="N806" s="88">
        <v>0</v>
      </c>
      <c r="O806" s="88">
        <v>0</v>
      </c>
      <c r="P806" s="88">
        <v>0</v>
      </c>
    </row>
    <row r="807" spans="2:16" hidden="1">
      <c r="B807" s="79"/>
      <c r="C807" s="79"/>
      <c r="D807" s="81" t="s">
        <v>180</v>
      </c>
      <c r="E807" s="87">
        <v>2011</v>
      </c>
      <c r="F807" s="88">
        <v>0</v>
      </c>
      <c r="G807" s="88">
        <v>0</v>
      </c>
      <c r="H807" s="88">
        <v>0</v>
      </c>
      <c r="I807" s="88">
        <v>0</v>
      </c>
      <c r="J807" s="88">
        <v>0</v>
      </c>
      <c r="K807" s="88">
        <v>0</v>
      </c>
      <c r="L807" s="88">
        <v>0</v>
      </c>
      <c r="M807" s="88">
        <v>0</v>
      </c>
      <c r="N807" s="88">
        <v>0</v>
      </c>
      <c r="O807" s="88">
        <v>0</v>
      </c>
      <c r="P807" s="88">
        <v>0</v>
      </c>
    </row>
    <row r="808" spans="2:16" hidden="1">
      <c r="B808" s="79"/>
      <c r="C808" s="79"/>
      <c r="D808" s="81" t="s">
        <v>180</v>
      </c>
      <c r="E808" s="82">
        <v>2012</v>
      </c>
      <c r="F808" s="83">
        <v>0</v>
      </c>
      <c r="G808" s="83">
        <v>0</v>
      </c>
      <c r="H808" s="83">
        <v>0</v>
      </c>
      <c r="I808" s="83">
        <v>0</v>
      </c>
      <c r="J808" s="83">
        <v>0</v>
      </c>
      <c r="K808" s="83">
        <v>0</v>
      </c>
      <c r="L808" s="83">
        <v>0</v>
      </c>
      <c r="M808" s="83">
        <v>0</v>
      </c>
      <c r="N808" s="83">
        <v>0</v>
      </c>
      <c r="O808" s="83">
        <v>0</v>
      </c>
      <c r="P808" s="83">
        <v>0</v>
      </c>
    </row>
    <row r="809" spans="2:16" hidden="1">
      <c r="B809" s="79"/>
      <c r="C809" s="79"/>
      <c r="D809" s="77" t="s">
        <v>180</v>
      </c>
      <c r="E809" s="87">
        <v>2005</v>
      </c>
      <c r="F809" s="88">
        <v>0</v>
      </c>
      <c r="G809" s="88">
        <v>0</v>
      </c>
      <c r="H809" s="88">
        <v>0</v>
      </c>
      <c r="I809" s="88">
        <v>0.74880000000000002</v>
      </c>
      <c r="J809" s="88">
        <v>170.42140000000001</v>
      </c>
      <c r="K809" s="88">
        <v>57.082400000000007</v>
      </c>
      <c r="L809" s="88">
        <v>63.737400000000001</v>
      </c>
      <c r="M809" s="88">
        <v>2</v>
      </c>
      <c r="N809" s="88">
        <v>2.5581000000000005</v>
      </c>
      <c r="O809" s="88">
        <v>0</v>
      </c>
      <c r="P809" s="88">
        <v>296.54810000000009</v>
      </c>
    </row>
    <row r="810" spans="2:16" hidden="1">
      <c r="B810" s="79"/>
      <c r="C810" s="79"/>
      <c r="D810" s="81" t="s">
        <v>179</v>
      </c>
      <c r="E810" s="87">
        <v>2006</v>
      </c>
      <c r="F810" s="88">
        <v>0</v>
      </c>
      <c r="G810" s="88">
        <v>0</v>
      </c>
      <c r="H810" s="88">
        <v>0.125</v>
      </c>
      <c r="I810" s="88">
        <v>2.0013000000000001</v>
      </c>
      <c r="J810" s="88">
        <v>81.984700000000004</v>
      </c>
      <c r="K810" s="88">
        <v>39.08400000000001</v>
      </c>
      <c r="L810" s="88">
        <v>55.727899999999998</v>
      </c>
      <c r="M810" s="88">
        <v>2.75</v>
      </c>
      <c r="N810" s="88">
        <v>8.5425000000000004</v>
      </c>
      <c r="O810" s="88">
        <v>0</v>
      </c>
      <c r="P810" s="88">
        <v>190.21539999999999</v>
      </c>
    </row>
    <row r="811" spans="2:16" hidden="1">
      <c r="B811" s="79"/>
      <c r="C811" s="79"/>
      <c r="D811" s="81" t="s">
        <v>179</v>
      </c>
      <c r="E811" s="87">
        <v>2007</v>
      </c>
      <c r="F811" s="88">
        <v>0</v>
      </c>
      <c r="G811" s="88">
        <v>0</v>
      </c>
      <c r="H811" s="88">
        <v>0</v>
      </c>
      <c r="I811" s="88">
        <v>0</v>
      </c>
      <c r="J811" s="88">
        <v>0</v>
      </c>
      <c r="K811" s="88">
        <v>0</v>
      </c>
      <c r="L811" s="88">
        <v>0</v>
      </c>
      <c r="M811" s="88">
        <v>0</v>
      </c>
      <c r="N811" s="88">
        <v>0</v>
      </c>
      <c r="O811" s="88">
        <v>0</v>
      </c>
      <c r="P811" s="88">
        <v>0</v>
      </c>
    </row>
    <row r="812" spans="2:16" hidden="1">
      <c r="B812" s="79"/>
      <c r="C812" s="79"/>
      <c r="D812" s="81" t="s">
        <v>179</v>
      </c>
      <c r="E812" s="87">
        <v>2008</v>
      </c>
      <c r="F812" s="88">
        <v>0</v>
      </c>
      <c r="G812" s="88">
        <v>0</v>
      </c>
      <c r="H812" s="88">
        <v>0</v>
      </c>
      <c r="I812" s="88">
        <v>0</v>
      </c>
      <c r="J812" s="88">
        <v>0</v>
      </c>
      <c r="K812" s="88">
        <v>0</v>
      </c>
      <c r="L812" s="88">
        <v>0</v>
      </c>
      <c r="M812" s="88">
        <v>0</v>
      </c>
      <c r="N812" s="88">
        <v>0</v>
      </c>
      <c r="O812" s="88">
        <v>0</v>
      </c>
      <c r="P812" s="88">
        <v>0</v>
      </c>
    </row>
    <row r="813" spans="2:16" hidden="1">
      <c r="B813" s="79"/>
      <c r="C813" s="79"/>
      <c r="D813" s="81" t="s">
        <v>179</v>
      </c>
      <c r="E813" s="87">
        <v>2009</v>
      </c>
      <c r="F813" s="88">
        <v>0</v>
      </c>
      <c r="G813" s="88">
        <v>0</v>
      </c>
      <c r="H813" s="88">
        <v>0</v>
      </c>
      <c r="I813" s="88">
        <v>0</v>
      </c>
      <c r="J813" s="88">
        <v>0</v>
      </c>
      <c r="K813" s="88">
        <v>0</v>
      </c>
      <c r="L813" s="88">
        <v>0</v>
      </c>
      <c r="M813" s="88">
        <v>0</v>
      </c>
      <c r="N813" s="88">
        <v>0</v>
      </c>
      <c r="O813" s="88">
        <v>0</v>
      </c>
      <c r="P813" s="88">
        <v>0</v>
      </c>
    </row>
    <row r="814" spans="2:16" hidden="1">
      <c r="B814" s="79"/>
      <c r="C814" s="79"/>
      <c r="D814" s="81" t="s">
        <v>179</v>
      </c>
      <c r="E814" s="87">
        <v>2010</v>
      </c>
      <c r="F814" s="88">
        <v>0</v>
      </c>
      <c r="G814" s="88">
        <v>0</v>
      </c>
      <c r="H814" s="88">
        <v>0</v>
      </c>
      <c r="I814" s="88">
        <v>0</v>
      </c>
      <c r="J814" s="88">
        <v>0</v>
      </c>
      <c r="K814" s="88">
        <v>0</v>
      </c>
      <c r="L814" s="88">
        <v>0</v>
      </c>
      <c r="M814" s="88">
        <v>0</v>
      </c>
      <c r="N814" s="88">
        <v>0</v>
      </c>
      <c r="O814" s="88">
        <v>0</v>
      </c>
      <c r="P814" s="88">
        <v>0</v>
      </c>
    </row>
    <row r="815" spans="2:16" hidden="1">
      <c r="B815" s="79"/>
      <c r="C815" s="79"/>
      <c r="D815" s="81" t="s">
        <v>179</v>
      </c>
      <c r="E815" s="87">
        <v>2011</v>
      </c>
      <c r="F815" s="88">
        <v>0</v>
      </c>
      <c r="G815" s="88">
        <v>0</v>
      </c>
      <c r="H815" s="88">
        <v>0</v>
      </c>
      <c r="I815" s="88">
        <v>0</v>
      </c>
      <c r="J815" s="88">
        <v>0</v>
      </c>
      <c r="K815" s="88">
        <v>0</v>
      </c>
      <c r="L815" s="88">
        <v>0</v>
      </c>
      <c r="M815" s="88">
        <v>0</v>
      </c>
      <c r="N815" s="88">
        <v>0</v>
      </c>
      <c r="O815" s="88">
        <v>0</v>
      </c>
      <c r="P815" s="88">
        <v>0</v>
      </c>
    </row>
    <row r="816" spans="2:16" hidden="1">
      <c r="B816" s="79"/>
      <c r="C816" s="79"/>
      <c r="D816" s="81" t="s">
        <v>179</v>
      </c>
      <c r="E816" s="82">
        <v>2012</v>
      </c>
      <c r="F816" s="83">
        <v>0</v>
      </c>
      <c r="G816" s="83">
        <v>0</v>
      </c>
      <c r="H816" s="83">
        <v>0</v>
      </c>
      <c r="I816" s="83">
        <v>0</v>
      </c>
      <c r="J816" s="83">
        <v>0</v>
      </c>
      <c r="K816" s="83">
        <v>0</v>
      </c>
      <c r="L816" s="83">
        <v>0</v>
      </c>
      <c r="M816" s="83">
        <v>0</v>
      </c>
      <c r="N816" s="83">
        <v>0</v>
      </c>
      <c r="O816" s="83">
        <v>0</v>
      </c>
      <c r="P816" s="83">
        <v>0</v>
      </c>
    </row>
    <row r="817" spans="2:16" hidden="1">
      <c r="B817" s="79"/>
      <c r="C817" s="79"/>
      <c r="D817" s="77" t="s">
        <v>119</v>
      </c>
      <c r="E817" s="87">
        <v>2005</v>
      </c>
      <c r="F817" s="88">
        <v>0</v>
      </c>
      <c r="G817" s="88">
        <v>0</v>
      </c>
      <c r="H817" s="88">
        <v>89.482400000000013</v>
      </c>
      <c r="I817" s="88">
        <v>110.34930000000003</v>
      </c>
      <c r="J817" s="88">
        <v>744.20499999999993</v>
      </c>
      <c r="K817" s="88">
        <v>2248.1426999999994</v>
      </c>
      <c r="L817" s="88">
        <v>635.63450000000023</v>
      </c>
      <c r="M817" s="88">
        <v>38.413799999999995</v>
      </c>
      <c r="N817" s="88">
        <v>46.198599999999999</v>
      </c>
      <c r="O817" s="88">
        <v>0</v>
      </c>
      <c r="P817" s="88">
        <v>3912.4263000000019</v>
      </c>
    </row>
    <row r="818" spans="2:16" hidden="1">
      <c r="B818" s="79"/>
      <c r="C818" s="79"/>
      <c r="D818" s="81" t="s">
        <v>119</v>
      </c>
      <c r="E818" s="87">
        <v>2006</v>
      </c>
      <c r="F818" s="88">
        <v>0</v>
      </c>
      <c r="G818" s="88">
        <v>0</v>
      </c>
      <c r="H818" s="88">
        <v>154.25080000000003</v>
      </c>
      <c r="I818" s="88">
        <v>94.928399999999996</v>
      </c>
      <c r="J818" s="88">
        <v>747.65499999999975</v>
      </c>
      <c r="K818" s="88">
        <v>2103.1062999999995</v>
      </c>
      <c r="L818" s="88">
        <v>541.38969999999995</v>
      </c>
      <c r="M818" s="88">
        <v>55.701100000000004</v>
      </c>
      <c r="N818" s="88">
        <v>48.489999999999995</v>
      </c>
      <c r="O818" s="88">
        <v>0</v>
      </c>
      <c r="P818" s="88">
        <v>3745.521299999999</v>
      </c>
    </row>
    <row r="819" spans="2:16" hidden="1">
      <c r="B819" s="79"/>
      <c r="C819" s="79"/>
      <c r="D819" s="81" t="s">
        <v>119</v>
      </c>
      <c r="E819" s="87">
        <v>2007</v>
      </c>
      <c r="F819" s="88">
        <v>0</v>
      </c>
      <c r="G819" s="88">
        <v>0</v>
      </c>
      <c r="H819" s="88">
        <v>0</v>
      </c>
      <c r="I819" s="88">
        <v>0</v>
      </c>
      <c r="J819" s="88">
        <v>0</v>
      </c>
      <c r="K819" s="88">
        <v>0</v>
      </c>
      <c r="L819" s="88">
        <v>0</v>
      </c>
      <c r="M819" s="88">
        <v>0</v>
      </c>
      <c r="N819" s="88">
        <v>0</v>
      </c>
      <c r="O819" s="88">
        <v>0</v>
      </c>
      <c r="P819" s="88">
        <v>0</v>
      </c>
    </row>
    <row r="820" spans="2:16" hidden="1">
      <c r="B820" s="79"/>
      <c r="C820" s="79"/>
      <c r="D820" s="81" t="s">
        <v>119</v>
      </c>
      <c r="E820" s="87">
        <v>2008</v>
      </c>
      <c r="F820" s="88">
        <v>0</v>
      </c>
      <c r="G820" s="88">
        <v>0</v>
      </c>
      <c r="H820" s="88">
        <v>0</v>
      </c>
      <c r="I820" s="88">
        <v>0</v>
      </c>
      <c r="J820" s="88">
        <v>0</v>
      </c>
      <c r="K820" s="88">
        <v>0</v>
      </c>
      <c r="L820" s="88">
        <v>0</v>
      </c>
      <c r="M820" s="88">
        <v>0</v>
      </c>
      <c r="N820" s="88">
        <v>0</v>
      </c>
      <c r="O820" s="88">
        <v>0</v>
      </c>
      <c r="P820" s="88">
        <v>0</v>
      </c>
    </row>
    <row r="821" spans="2:16" hidden="1">
      <c r="B821" s="79"/>
      <c r="C821" s="79"/>
      <c r="D821" s="81" t="s">
        <v>119</v>
      </c>
      <c r="E821" s="87">
        <v>2009</v>
      </c>
      <c r="F821" s="88">
        <v>0</v>
      </c>
      <c r="G821" s="88">
        <v>0</v>
      </c>
      <c r="H821" s="88">
        <v>0</v>
      </c>
      <c r="I821" s="88">
        <v>0</v>
      </c>
      <c r="J821" s="88">
        <v>0</v>
      </c>
      <c r="K821" s="88">
        <v>0</v>
      </c>
      <c r="L821" s="88">
        <v>0</v>
      </c>
      <c r="M821" s="88">
        <v>0</v>
      </c>
      <c r="N821" s="88">
        <v>0</v>
      </c>
      <c r="O821" s="88">
        <v>0</v>
      </c>
      <c r="P821" s="88">
        <v>0</v>
      </c>
    </row>
    <row r="822" spans="2:16" hidden="1">
      <c r="B822" s="79"/>
      <c r="C822" s="79"/>
      <c r="D822" s="81" t="s">
        <v>119</v>
      </c>
      <c r="E822" s="87">
        <v>2010</v>
      </c>
      <c r="F822" s="88">
        <v>0</v>
      </c>
      <c r="G822" s="88">
        <v>0</v>
      </c>
      <c r="H822" s="88">
        <v>0</v>
      </c>
      <c r="I822" s="88">
        <v>0</v>
      </c>
      <c r="J822" s="88">
        <v>0</v>
      </c>
      <c r="K822" s="88">
        <v>0</v>
      </c>
      <c r="L822" s="88">
        <v>0</v>
      </c>
      <c r="M822" s="88">
        <v>0</v>
      </c>
      <c r="N822" s="88">
        <v>0</v>
      </c>
      <c r="O822" s="88">
        <v>0</v>
      </c>
      <c r="P822" s="88">
        <v>0</v>
      </c>
    </row>
    <row r="823" spans="2:16" hidden="1">
      <c r="B823" s="79"/>
      <c r="C823" s="79"/>
      <c r="D823" s="81" t="s">
        <v>119</v>
      </c>
      <c r="E823" s="87">
        <v>2011</v>
      </c>
      <c r="F823" s="88">
        <v>0</v>
      </c>
      <c r="G823" s="88">
        <v>0</v>
      </c>
      <c r="H823" s="88">
        <v>0</v>
      </c>
      <c r="I823" s="88">
        <v>0</v>
      </c>
      <c r="J823" s="88">
        <v>0</v>
      </c>
      <c r="K823" s="88">
        <v>0</v>
      </c>
      <c r="L823" s="88">
        <v>0</v>
      </c>
      <c r="M823" s="88">
        <v>0</v>
      </c>
      <c r="N823" s="88">
        <v>0</v>
      </c>
      <c r="O823" s="88">
        <v>0</v>
      </c>
      <c r="P823" s="88">
        <v>0</v>
      </c>
    </row>
    <row r="824" spans="2:16" hidden="1">
      <c r="B824" s="89"/>
      <c r="C824" s="89"/>
      <c r="D824" s="81" t="s">
        <v>119</v>
      </c>
      <c r="E824" s="82">
        <v>2012</v>
      </c>
      <c r="F824" s="83">
        <v>0</v>
      </c>
      <c r="G824" s="83">
        <v>0</v>
      </c>
      <c r="H824" s="83">
        <v>0</v>
      </c>
      <c r="I824" s="83">
        <v>0</v>
      </c>
      <c r="J824" s="83">
        <v>0</v>
      </c>
      <c r="K824" s="83">
        <v>0</v>
      </c>
      <c r="L824" s="83">
        <v>0</v>
      </c>
      <c r="M824" s="83">
        <v>0</v>
      </c>
      <c r="N824" s="83">
        <v>0</v>
      </c>
      <c r="O824" s="83">
        <v>0</v>
      </c>
      <c r="P824" s="83">
        <v>0</v>
      </c>
    </row>
    <row r="825" spans="2:16" hidden="1">
      <c r="B825" s="76" t="s">
        <v>205</v>
      </c>
      <c r="C825" s="76" t="s">
        <v>206</v>
      </c>
      <c r="D825" s="77" t="s">
        <v>179</v>
      </c>
      <c r="E825" s="85">
        <v>2005</v>
      </c>
      <c r="F825" s="86">
        <v>3580.9636999999971</v>
      </c>
      <c r="G825" s="86">
        <v>6614.0682000000133</v>
      </c>
      <c r="H825" s="86">
        <v>4208.5646999999981</v>
      </c>
      <c r="I825" s="86">
        <v>10263.835900000004</v>
      </c>
      <c r="J825" s="86">
        <v>1799.5933999999997</v>
      </c>
      <c r="K825" s="86">
        <v>538.60790000000009</v>
      </c>
      <c r="L825" s="86">
        <v>0</v>
      </c>
      <c r="M825" s="86">
        <v>0</v>
      </c>
      <c r="N825" s="86">
        <v>0</v>
      </c>
      <c r="O825" s="86">
        <v>0</v>
      </c>
      <c r="P825" s="86">
        <v>27005.633800000032</v>
      </c>
    </row>
    <row r="826" spans="2:16" hidden="1">
      <c r="B826" s="79"/>
      <c r="C826" s="79"/>
      <c r="D826" s="81" t="s">
        <v>180</v>
      </c>
      <c r="E826" s="87">
        <v>2006</v>
      </c>
      <c r="F826" s="88">
        <v>965.47850000000039</v>
      </c>
      <c r="G826" s="88">
        <v>6909.588800000025</v>
      </c>
      <c r="H826" s="88">
        <v>2895.7926999999986</v>
      </c>
      <c r="I826" s="88">
        <v>6969.5472999999956</v>
      </c>
      <c r="J826" s="88">
        <v>1598.7403999999985</v>
      </c>
      <c r="K826" s="88">
        <v>330.67300000000006</v>
      </c>
      <c r="L826" s="88">
        <v>0</v>
      </c>
      <c r="M826" s="88">
        <v>0</v>
      </c>
      <c r="N826" s="88">
        <v>0</v>
      </c>
      <c r="O826" s="88">
        <v>0</v>
      </c>
      <c r="P826" s="88">
        <v>19669.820699999989</v>
      </c>
    </row>
    <row r="827" spans="2:16" hidden="1">
      <c r="B827" s="79"/>
      <c r="C827" s="79"/>
      <c r="D827" s="81" t="s">
        <v>180</v>
      </c>
      <c r="E827" s="87">
        <v>2007</v>
      </c>
      <c r="F827" s="88">
        <v>956.9052999999999</v>
      </c>
      <c r="G827" s="88">
        <v>7465.5513000000128</v>
      </c>
      <c r="H827" s="88">
        <v>2716.8842</v>
      </c>
      <c r="I827" s="88">
        <v>5301.7285000000047</v>
      </c>
      <c r="J827" s="88">
        <v>1764.1349999999989</v>
      </c>
      <c r="K827" s="88">
        <v>372.36690000000021</v>
      </c>
      <c r="L827" s="88">
        <v>0</v>
      </c>
      <c r="M827" s="88">
        <v>0</v>
      </c>
      <c r="N827" s="88">
        <v>0</v>
      </c>
      <c r="O827" s="88">
        <v>0</v>
      </c>
      <c r="P827" s="88">
        <v>18577.571199999984</v>
      </c>
    </row>
    <row r="828" spans="2:16" hidden="1">
      <c r="B828" s="79"/>
      <c r="C828" s="79"/>
      <c r="D828" s="81" t="s">
        <v>180</v>
      </c>
      <c r="E828" s="87">
        <v>2008</v>
      </c>
      <c r="F828" s="88">
        <v>1076.5716000000002</v>
      </c>
      <c r="G828" s="88">
        <v>7577.4285000000264</v>
      </c>
      <c r="H828" s="88">
        <v>2976.484399999998</v>
      </c>
      <c r="I828" s="88">
        <v>5218.9431000000022</v>
      </c>
      <c r="J828" s="88">
        <v>1779.7545999999973</v>
      </c>
      <c r="K828" s="88">
        <v>399.38119999999975</v>
      </c>
      <c r="L828" s="88">
        <v>0</v>
      </c>
      <c r="M828" s="88">
        <v>0</v>
      </c>
      <c r="N828" s="88">
        <v>0</v>
      </c>
      <c r="O828" s="88">
        <v>0</v>
      </c>
      <c r="P828" s="88">
        <v>19028.563400000014</v>
      </c>
    </row>
    <row r="829" spans="2:16" hidden="1">
      <c r="B829" s="79"/>
      <c r="C829" s="79"/>
      <c r="D829" s="81" t="s">
        <v>180</v>
      </c>
      <c r="E829" s="87">
        <v>2009</v>
      </c>
      <c r="F829" s="88">
        <v>896.71319999999992</v>
      </c>
      <c r="G829" s="88">
        <v>7794.8821000000007</v>
      </c>
      <c r="H829" s="88">
        <v>4247.3545999999933</v>
      </c>
      <c r="I829" s="88">
        <v>5720.1303999999982</v>
      </c>
      <c r="J829" s="88">
        <v>1993.6225000000002</v>
      </c>
      <c r="K829" s="88">
        <v>543.04739999999993</v>
      </c>
      <c r="L829" s="88">
        <v>25.978400000000001</v>
      </c>
      <c r="M829" s="88">
        <v>0</v>
      </c>
      <c r="N829" s="88">
        <v>0</v>
      </c>
      <c r="O829" s="88">
        <v>0</v>
      </c>
      <c r="P829" s="88">
        <v>21221.728599999977</v>
      </c>
    </row>
    <row r="830" spans="2:16" hidden="1">
      <c r="B830" s="79"/>
      <c r="C830" s="79"/>
      <c r="D830" s="81" t="s">
        <v>180</v>
      </c>
      <c r="E830" s="87">
        <v>2010</v>
      </c>
      <c r="F830" s="88">
        <v>905.77029999999866</v>
      </c>
      <c r="G830" s="88">
        <v>7174.8139000000056</v>
      </c>
      <c r="H830" s="88">
        <v>4074.616300000001</v>
      </c>
      <c r="I830" s="88">
        <v>6632.0866000000042</v>
      </c>
      <c r="J830" s="88">
        <v>2136.6195999999991</v>
      </c>
      <c r="K830" s="88">
        <v>686.77930000000003</v>
      </c>
      <c r="L830" s="88">
        <v>49.687200000000004</v>
      </c>
      <c r="M830" s="88">
        <v>0</v>
      </c>
      <c r="N830" s="88">
        <v>0</v>
      </c>
      <c r="O830" s="88">
        <v>0</v>
      </c>
      <c r="P830" s="88">
        <v>21660.373200000013</v>
      </c>
    </row>
    <row r="831" spans="2:16" hidden="1">
      <c r="B831" s="79"/>
      <c r="C831" s="79"/>
      <c r="D831" s="81" t="s">
        <v>180</v>
      </c>
      <c r="E831" s="87">
        <v>2011</v>
      </c>
      <c r="F831" s="88">
        <v>1039.1007999999963</v>
      </c>
      <c r="G831" s="88">
        <v>6795.142799999996</v>
      </c>
      <c r="H831" s="88">
        <v>3710.4522000000015</v>
      </c>
      <c r="I831" s="88">
        <v>6450.3816000000006</v>
      </c>
      <c r="J831" s="88">
        <v>1419.1649000000004</v>
      </c>
      <c r="K831" s="88">
        <v>970.3143</v>
      </c>
      <c r="L831" s="88">
        <v>34.153999999999996</v>
      </c>
      <c r="M831" s="88">
        <v>0</v>
      </c>
      <c r="N831" s="88">
        <v>0</v>
      </c>
      <c r="O831" s="88">
        <v>0</v>
      </c>
      <c r="P831" s="88">
        <v>20418.71060000002</v>
      </c>
    </row>
    <row r="832" spans="2:16" hidden="1">
      <c r="B832" s="79"/>
      <c r="C832" s="79"/>
      <c r="D832" s="81" t="s">
        <v>180</v>
      </c>
      <c r="E832" s="82">
        <v>2012</v>
      </c>
      <c r="F832" s="83">
        <v>1299.8195999999975</v>
      </c>
      <c r="G832" s="83">
        <v>6686.9212999999982</v>
      </c>
      <c r="H832" s="83">
        <v>3528.3076000000074</v>
      </c>
      <c r="I832" s="83">
        <v>6725.7485000000006</v>
      </c>
      <c r="J832" s="83">
        <v>1280.9324000000001</v>
      </c>
      <c r="K832" s="83">
        <v>939.35590000000002</v>
      </c>
      <c r="L832" s="83">
        <v>33.095999999999997</v>
      </c>
      <c r="M832" s="83">
        <v>0</v>
      </c>
      <c r="N832" s="83">
        <v>0</v>
      </c>
      <c r="O832" s="83">
        <v>0</v>
      </c>
      <c r="P832" s="83">
        <v>20494.181299999997</v>
      </c>
    </row>
    <row r="833" spans="2:16" hidden="1">
      <c r="B833" s="79"/>
      <c r="C833" s="79"/>
      <c r="D833" s="77" t="s">
        <v>180</v>
      </c>
      <c r="E833" s="87">
        <v>2005</v>
      </c>
      <c r="F833" s="88">
        <v>0</v>
      </c>
      <c r="G833" s="88">
        <v>0</v>
      </c>
      <c r="H833" s="88">
        <v>0</v>
      </c>
      <c r="I833" s="88">
        <v>0.99999999999999978</v>
      </c>
      <c r="J833" s="88">
        <v>0</v>
      </c>
      <c r="K833" s="88">
        <v>8.6082999999999998</v>
      </c>
      <c r="L833" s="88">
        <v>0</v>
      </c>
      <c r="M833" s="88">
        <v>0</v>
      </c>
      <c r="N833" s="88">
        <v>0</v>
      </c>
      <c r="O833" s="88">
        <v>0</v>
      </c>
      <c r="P833" s="88">
        <v>9.6082999999999998</v>
      </c>
    </row>
    <row r="834" spans="2:16" hidden="1">
      <c r="B834" s="79"/>
      <c r="C834" s="79"/>
      <c r="D834" s="81" t="s">
        <v>179</v>
      </c>
      <c r="E834" s="87">
        <v>2006</v>
      </c>
      <c r="F834" s="88">
        <v>0</v>
      </c>
      <c r="G834" s="88">
        <v>0</v>
      </c>
      <c r="H834" s="88">
        <v>0</v>
      </c>
      <c r="I834" s="88">
        <v>0</v>
      </c>
      <c r="J834" s="88">
        <v>0</v>
      </c>
      <c r="K834" s="88">
        <v>0</v>
      </c>
      <c r="L834" s="88">
        <v>0</v>
      </c>
      <c r="M834" s="88">
        <v>0</v>
      </c>
      <c r="N834" s="88">
        <v>0</v>
      </c>
      <c r="O834" s="88">
        <v>0</v>
      </c>
      <c r="P834" s="88">
        <v>0</v>
      </c>
    </row>
    <row r="835" spans="2:16" hidden="1">
      <c r="B835" s="79"/>
      <c r="C835" s="79"/>
      <c r="D835" s="81" t="s">
        <v>179</v>
      </c>
      <c r="E835" s="87">
        <v>2007</v>
      </c>
      <c r="F835" s="88">
        <v>0</v>
      </c>
      <c r="G835" s="88">
        <v>0</v>
      </c>
      <c r="H835" s="88">
        <v>0</v>
      </c>
      <c r="I835" s="88">
        <v>0</v>
      </c>
      <c r="J835" s="88">
        <v>0</v>
      </c>
      <c r="K835" s="88">
        <v>0</v>
      </c>
      <c r="L835" s="88">
        <v>0</v>
      </c>
      <c r="M835" s="88">
        <v>0</v>
      </c>
      <c r="N835" s="88">
        <v>0</v>
      </c>
      <c r="O835" s="88">
        <v>0</v>
      </c>
      <c r="P835" s="88">
        <v>0</v>
      </c>
    </row>
    <row r="836" spans="2:16" hidden="1">
      <c r="B836" s="79"/>
      <c r="C836" s="79"/>
      <c r="D836" s="81" t="s">
        <v>179</v>
      </c>
      <c r="E836" s="87">
        <v>2008</v>
      </c>
      <c r="F836" s="88">
        <v>0</v>
      </c>
      <c r="G836" s="88">
        <v>0</v>
      </c>
      <c r="H836" s="88">
        <v>1.0000000000000002</v>
      </c>
      <c r="I836" s="88">
        <v>0</v>
      </c>
      <c r="J836" s="88">
        <v>0</v>
      </c>
      <c r="K836" s="88">
        <v>0</v>
      </c>
      <c r="L836" s="88">
        <v>0</v>
      </c>
      <c r="M836" s="88">
        <v>0</v>
      </c>
      <c r="N836" s="88">
        <v>0</v>
      </c>
      <c r="O836" s="88">
        <v>0</v>
      </c>
      <c r="P836" s="88">
        <v>1.0000000000000002</v>
      </c>
    </row>
    <row r="837" spans="2:16" hidden="1">
      <c r="B837" s="79"/>
      <c r="C837" s="79"/>
      <c r="D837" s="81" t="s">
        <v>179</v>
      </c>
      <c r="E837" s="87">
        <v>2009</v>
      </c>
      <c r="F837" s="88">
        <v>0</v>
      </c>
      <c r="G837" s="88">
        <v>0</v>
      </c>
      <c r="H837" s="88">
        <v>0</v>
      </c>
      <c r="I837" s="88">
        <v>0</v>
      </c>
      <c r="J837" s="88">
        <v>0</v>
      </c>
      <c r="K837" s="88">
        <v>0</v>
      </c>
      <c r="L837" s="88">
        <v>0</v>
      </c>
      <c r="M837" s="88">
        <v>0</v>
      </c>
      <c r="N837" s="88">
        <v>0</v>
      </c>
      <c r="O837" s="88">
        <v>0</v>
      </c>
      <c r="P837" s="88">
        <v>0</v>
      </c>
    </row>
    <row r="838" spans="2:16" hidden="1">
      <c r="B838" s="79"/>
      <c r="C838" s="79"/>
      <c r="D838" s="81" t="s">
        <v>179</v>
      </c>
      <c r="E838" s="87">
        <v>2010</v>
      </c>
      <c r="F838" s="88">
        <v>0</v>
      </c>
      <c r="G838" s="88">
        <v>0</v>
      </c>
      <c r="H838" s="88">
        <v>0</v>
      </c>
      <c r="I838" s="88">
        <v>0</v>
      </c>
      <c r="J838" s="88">
        <v>0</v>
      </c>
      <c r="K838" s="88">
        <v>0</v>
      </c>
      <c r="L838" s="88">
        <v>0</v>
      </c>
      <c r="M838" s="88">
        <v>0</v>
      </c>
      <c r="N838" s="88">
        <v>0</v>
      </c>
      <c r="O838" s="88">
        <v>0</v>
      </c>
      <c r="P838" s="88">
        <v>0</v>
      </c>
    </row>
    <row r="839" spans="2:16" hidden="1">
      <c r="B839" s="79"/>
      <c r="C839" s="79"/>
      <c r="D839" s="81" t="s">
        <v>179</v>
      </c>
      <c r="E839" s="87">
        <v>2011</v>
      </c>
      <c r="F839" s="88">
        <v>0</v>
      </c>
      <c r="G839" s="88">
        <v>0</v>
      </c>
      <c r="H839" s="88">
        <v>0</v>
      </c>
      <c r="I839" s="88">
        <v>0</v>
      </c>
      <c r="J839" s="88">
        <v>0</v>
      </c>
      <c r="K839" s="88">
        <v>0</v>
      </c>
      <c r="L839" s="88">
        <v>0</v>
      </c>
      <c r="M839" s="88">
        <v>0</v>
      </c>
      <c r="N839" s="88">
        <v>0</v>
      </c>
      <c r="O839" s="88">
        <v>0</v>
      </c>
      <c r="P839" s="88">
        <v>0</v>
      </c>
    </row>
    <row r="840" spans="2:16" hidden="1">
      <c r="B840" s="79"/>
      <c r="C840" s="79"/>
      <c r="D840" s="81" t="s">
        <v>179</v>
      </c>
      <c r="E840" s="82">
        <v>2012</v>
      </c>
      <c r="F840" s="83">
        <v>0</v>
      </c>
      <c r="G840" s="83">
        <v>0</v>
      </c>
      <c r="H840" s="83">
        <v>0</v>
      </c>
      <c r="I840" s="83">
        <v>0</v>
      </c>
      <c r="J840" s="83">
        <v>0</v>
      </c>
      <c r="K840" s="83">
        <v>0</v>
      </c>
      <c r="L840" s="83">
        <v>0</v>
      </c>
      <c r="M840" s="83">
        <v>0</v>
      </c>
      <c r="N840" s="83">
        <v>0</v>
      </c>
      <c r="O840" s="83">
        <v>0</v>
      </c>
      <c r="P840" s="83">
        <v>0</v>
      </c>
    </row>
    <row r="841" spans="2:16" hidden="1">
      <c r="B841" s="79"/>
      <c r="C841" s="79"/>
      <c r="D841" s="77" t="s">
        <v>119</v>
      </c>
      <c r="E841" s="87">
        <v>2005</v>
      </c>
      <c r="F841" s="88">
        <v>3580.9636999999971</v>
      </c>
      <c r="G841" s="88">
        <v>6614.0682000000133</v>
      </c>
      <c r="H841" s="88">
        <v>4208.5646999999981</v>
      </c>
      <c r="I841" s="88">
        <v>10264.835900000004</v>
      </c>
      <c r="J841" s="88">
        <v>1799.5933999999997</v>
      </c>
      <c r="K841" s="88">
        <v>547.21620000000007</v>
      </c>
      <c r="L841" s="88">
        <v>0</v>
      </c>
      <c r="M841" s="88">
        <v>0</v>
      </c>
      <c r="N841" s="88">
        <v>0</v>
      </c>
      <c r="O841" s="88">
        <v>0</v>
      </c>
      <c r="P841" s="88">
        <v>27015.242100000032</v>
      </c>
    </row>
    <row r="842" spans="2:16" hidden="1">
      <c r="B842" s="79"/>
      <c r="C842" s="79"/>
      <c r="D842" s="81" t="s">
        <v>119</v>
      </c>
      <c r="E842" s="87">
        <v>2006</v>
      </c>
      <c r="F842" s="88">
        <v>965.47850000000039</v>
      </c>
      <c r="G842" s="88">
        <v>6909.588800000025</v>
      </c>
      <c r="H842" s="88">
        <v>2895.7926999999986</v>
      </c>
      <c r="I842" s="88">
        <v>6969.5472999999956</v>
      </c>
      <c r="J842" s="88">
        <v>1598.7403999999985</v>
      </c>
      <c r="K842" s="88">
        <v>330.67300000000006</v>
      </c>
      <c r="L842" s="88">
        <v>0</v>
      </c>
      <c r="M842" s="88">
        <v>0</v>
      </c>
      <c r="N842" s="88">
        <v>0</v>
      </c>
      <c r="O842" s="88">
        <v>0</v>
      </c>
      <c r="P842" s="88">
        <v>19669.820699999989</v>
      </c>
    </row>
    <row r="843" spans="2:16" hidden="1">
      <c r="B843" s="79"/>
      <c r="C843" s="79"/>
      <c r="D843" s="81" t="s">
        <v>119</v>
      </c>
      <c r="E843" s="87">
        <v>2007</v>
      </c>
      <c r="F843" s="88">
        <v>956.9052999999999</v>
      </c>
      <c r="G843" s="88">
        <v>7465.5513000000128</v>
      </c>
      <c r="H843" s="88">
        <v>2716.8842</v>
      </c>
      <c r="I843" s="88">
        <v>5301.7285000000047</v>
      </c>
      <c r="J843" s="88">
        <v>1764.1349999999989</v>
      </c>
      <c r="K843" s="88">
        <v>372.36690000000021</v>
      </c>
      <c r="L843" s="88">
        <v>0</v>
      </c>
      <c r="M843" s="88">
        <v>0</v>
      </c>
      <c r="N843" s="88">
        <v>0</v>
      </c>
      <c r="O843" s="88">
        <v>0</v>
      </c>
      <c r="P843" s="88">
        <v>18577.571199999984</v>
      </c>
    </row>
    <row r="844" spans="2:16" hidden="1">
      <c r="B844" s="79"/>
      <c r="C844" s="79"/>
      <c r="D844" s="81" t="s">
        <v>119</v>
      </c>
      <c r="E844" s="87">
        <v>2008</v>
      </c>
      <c r="F844" s="88">
        <v>1076.5716000000002</v>
      </c>
      <c r="G844" s="88">
        <v>7577.4285000000264</v>
      </c>
      <c r="H844" s="88">
        <v>2977.484399999998</v>
      </c>
      <c r="I844" s="88">
        <v>5218.9431000000022</v>
      </c>
      <c r="J844" s="88">
        <v>1779.7545999999973</v>
      </c>
      <c r="K844" s="88">
        <v>399.38119999999975</v>
      </c>
      <c r="L844" s="88">
        <v>0</v>
      </c>
      <c r="M844" s="88">
        <v>0</v>
      </c>
      <c r="N844" s="88">
        <v>0</v>
      </c>
      <c r="O844" s="88">
        <v>0</v>
      </c>
      <c r="P844" s="88">
        <v>19029.563400000014</v>
      </c>
    </row>
    <row r="845" spans="2:16" hidden="1">
      <c r="B845" s="79"/>
      <c r="C845" s="79"/>
      <c r="D845" s="81" t="s">
        <v>119</v>
      </c>
      <c r="E845" s="87">
        <v>2009</v>
      </c>
      <c r="F845" s="88">
        <v>896.71319999999992</v>
      </c>
      <c r="G845" s="88">
        <v>7794.8821000000007</v>
      </c>
      <c r="H845" s="88">
        <v>4247.3545999999933</v>
      </c>
      <c r="I845" s="88">
        <v>5720.1303999999982</v>
      </c>
      <c r="J845" s="88">
        <v>1993.6225000000002</v>
      </c>
      <c r="K845" s="88">
        <v>543.04739999999993</v>
      </c>
      <c r="L845" s="88">
        <v>25.978400000000001</v>
      </c>
      <c r="M845" s="88">
        <v>0</v>
      </c>
      <c r="N845" s="88">
        <v>0</v>
      </c>
      <c r="O845" s="88">
        <v>0</v>
      </c>
      <c r="P845" s="88">
        <v>21221.728599999977</v>
      </c>
    </row>
    <row r="846" spans="2:16" hidden="1">
      <c r="B846" s="79"/>
      <c r="C846" s="79"/>
      <c r="D846" s="81" t="s">
        <v>119</v>
      </c>
      <c r="E846" s="87">
        <v>2010</v>
      </c>
      <c r="F846" s="88">
        <v>905.77029999999866</v>
      </c>
      <c r="G846" s="88">
        <v>7174.8139000000056</v>
      </c>
      <c r="H846" s="88">
        <v>4074.616300000001</v>
      </c>
      <c r="I846" s="88">
        <v>6632.0866000000042</v>
      </c>
      <c r="J846" s="88">
        <v>2136.6195999999991</v>
      </c>
      <c r="K846" s="88">
        <v>686.77930000000003</v>
      </c>
      <c r="L846" s="88">
        <v>49.687200000000004</v>
      </c>
      <c r="M846" s="88">
        <v>0</v>
      </c>
      <c r="N846" s="88">
        <v>0</v>
      </c>
      <c r="O846" s="88">
        <v>0</v>
      </c>
      <c r="P846" s="88">
        <v>21660.373200000013</v>
      </c>
    </row>
    <row r="847" spans="2:16" hidden="1">
      <c r="B847" s="79"/>
      <c r="C847" s="79"/>
      <c r="D847" s="81" t="s">
        <v>119</v>
      </c>
      <c r="E847" s="87">
        <v>2011</v>
      </c>
      <c r="F847" s="88">
        <v>1039.1007999999963</v>
      </c>
      <c r="G847" s="88">
        <v>6795.142799999996</v>
      </c>
      <c r="H847" s="88">
        <v>3710.4522000000015</v>
      </c>
      <c r="I847" s="88">
        <v>6450.3816000000006</v>
      </c>
      <c r="J847" s="88">
        <v>1419.1649000000004</v>
      </c>
      <c r="K847" s="88">
        <v>970.3143</v>
      </c>
      <c r="L847" s="88">
        <v>34.153999999999996</v>
      </c>
      <c r="M847" s="88">
        <v>0</v>
      </c>
      <c r="N847" s="88">
        <v>0</v>
      </c>
      <c r="O847" s="88">
        <v>0</v>
      </c>
      <c r="P847" s="88">
        <v>20418.71060000002</v>
      </c>
    </row>
    <row r="848" spans="2:16" hidden="1">
      <c r="B848" s="79"/>
      <c r="C848" s="89"/>
      <c r="D848" s="81" t="s">
        <v>119</v>
      </c>
      <c r="E848" s="82">
        <v>2012</v>
      </c>
      <c r="F848" s="83">
        <v>1299.8195999999975</v>
      </c>
      <c r="G848" s="83">
        <v>6686.9212999999982</v>
      </c>
      <c r="H848" s="83">
        <v>3528.3076000000074</v>
      </c>
      <c r="I848" s="83">
        <v>6725.7485000000006</v>
      </c>
      <c r="J848" s="83">
        <v>1280.9324000000001</v>
      </c>
      <c r="K848" s="83">
        <v>939.35590000000002</v>
      </c>
      <c r="L848" s="83">
        <v>33.095999999999997</v>
      </c>
      <c r="M848" s="83">
        <v>0</v>
      </c>
      <c r="N848" s="83">
        <v>0</v>
      </c>
      <c r="O848" s="83">
        <v>0</v>
      </c>
      <c r="P848" s="83">
        <v>20494.181299999997</v>
      </c>
    </row>
    <row r="849" spans="2:16" hidden="1">
      <c r="B849" s="79"/>
      <c r="C849" s="76" t="s">
        <v>207</v>
      </c>
      <c r="D849" s="77" t="s">
        <v>179</v>
      </c>
      <c r="E849" s="85">
        <v>2005</v>
      </c>
      <c r="F849" s="86">
        <v>0</v>
      </c>
      <c r="G849" s="86">
        <v>0</v>
      </c>
      <c r="H849" s="86">
        <v>319.30869999999999</v>
      </c>
      <c r="I849" s="86">
        <v>0</v>
      </c>
      <c r="J849" s="86">
        <v>1232.9386999999997</v>
      </c>
      <c r="K849" s="86">
        <v>195.61720000000005</v>
      </c>
      <c r="L849" s="86">
        <v>0</v>
      </c>
      <c r="M849" s="86">
        <v>25.798199999999998</v>
      </c>
      <c r="N849" s="86">
        <v>127.7389</v>
      </c>
      <c r="O849" s="86">
        <v>0</v>
      </c>
      <c r="P849" s="86">
        <v>1901.4016999999994</v>
      </c>
    </row>
    <row r="850" spans="2:16" hidden="1">
      <c r="B850" s="79"/>
      <c r="C850" s="79"/>
      <c r="D850" s="81" t="s">
        <v>180</v>
      </c>
      <c r="E850" s="87">
        <v>2006</v>
      </c>
      <c r="F850" s="88">
        <v>0</v>
      </c>
      <c r="G850" s="88">
        <v>0</v>
      </c>
      <c r="H850" s="88">
        <v>245.69930000000008</v>
      </c>
      <c r="I850" s="88">
        <v>0</v>
      </c>
      <c r="J850" s="88">
        <v>1111.3226999999997</v>
      </c>
      <c r="K850" s="88">
        <v>210.02400000000009</v>
      </c>
      <c r="L850" s="88">
        <v>0</v>
      </c>
      <c r="M850" s="88">
        <v>35.260999999999989</v>
      </c>
      <c r="N850" s="88">
        <v>167.62490000000003</v>
      </c>
      <c r="O850" s="88">
        <v>0</v>
      </c>
      <c r="P850" s="88">
        <v>1769.9319</v>
      </c>
    </row>
    <row r="851" spans="2:16" hidden="1">
      <c r="B851" s="79"/>
      <c r="C851" s="79"/>
      <c r="D851" s="81" t="s">
        <v>180</v>
      </c>
      <c r="E851" s="87">
        <v>2007</v>
      </c>
      <c r="F851" s="88">
        <v>0</v>
      </c>
      <c r="G851" s="88">
        <v>0</v>
      </c>
      <c r="H851" s="88">
        <v>210.03650000000005</v>
      </c>
      <c r="I851" s="88">
        <v>0</v>
      </c>
      <c r="J851" s="88">
        <v>725.55739999999992</v>
      </c>
      <c r="K851" s="88">
        <v>449.0779</v>
      </c>
      <c r="L851" s="88">
        <v>0</v>
      </c>
      <c r="M851" s="88">
        <v>78.113900000000015</v>
      </c>
      <c r="N851" s="88">
        <v>92.86490000000002</v>
      </c>
      <c r="O851" s="88">
        <v>0</v>
      </c>
      <c r="P851" s="88">
        <v>1555.6506000000006</v>
      </c>
    </row>
    <row r="852" spans="2:16" hidden="1">
      <c r="B852" s="79"/>
      <c r="C852" s="79"/>
      <c r="D852" s="81" t="s">
        <v>180</v>
      </c>
      <c r="E852" s="87">
        <v>2008</v>
      </c>
      <c r="F852" s="88">
        <v>0</v>
      </c>
      <c r="G852" s="88">
        <v>0</v>
      </c>
      <c r="H852" s="88">
        <v>263.00700000000001</v>
      </c>
      <c r="I852" s="88">
        <v>0</v>
      </c>
      <c r="J852" s="88">
        <v>816.27499999999975</v>
      </c>
      <c r="K852" s="88">
        <v>448.77860000000015</v>
      </c>
      <c r="L852" s="88">
        <v>0</v>
      </c>
      <c r="M852" s="88">
        <v>61.882900000000006</v>
      </c>
      <c r="N852" s="88">
        <v>52.757000000000005</v>
      </c>
      <c r="O852" s="88">
        <v>0</v>
      </c>
      <c r="P852" s="88">
        <v>1642.7005000000001</v>
      </c>
    </row>
    <row r="853" spans="2:16" hidden="1">
      <c r="B853" s="79"/>
      <c r="C853" s="79"/>
      <c r="D853" s="81" t="s">
        <v>180</v>
      </c>
      <c r="E853" s="87">
        <v>2009</v>
      </c>
      <c r="F853" s="88">
        <v>0</v>
      </c>
      <c r="G853" s="88">
        <v>0</v>
      </c>
      <c r="H853" s="88">
        <v>274.67489999999998</v>
      </c>
      <c r="I853" s="88">
        <v>0</v>
      </c>
      <c r="J853" s="88">
        <v>773.13149999999985</v>
      </c>
      <c r="K853" s="88">
        <v>369.39370000000002</v>
      </c>
      <c r="L853" s="88">
        <v>0</v>
      </c>
      <c r="M853" s="88">
        <v>59.810100000000013</v>
      </c>
      <c r="N853" s="88">
        <v>43.761199999999995</v>
      </c>
      <c r="O853" s="88">
        <v>0</v>
      </c>
      <c r="P853" s="88">
        <v>1520.7713999999999</v>
      </c>
    </row>
    <row r="854" spans="2:16" hidden="1">
      <c r="B854" s="79"/>
      <c r="C854" s="79"/>
      <c r="D854" s="81" t="s">
        <v>180</v>
      </c>
      <c r="E854" s="87">
        <v>2010</v>
      </c>
      <c r="F854" s="88">
        <v>0</v>
      </c>
      <c r="G854" s="88">
        <v>0</v>
      </c>
      <c r="H854" s="88">
        <v>292.42450000000002</v>
      </c>
      <c r="I854" s="88">
        <v>4.4783999999999997</v>
      </c>
      <c r="J854" s="88">
        <v>894.59509999999989</v>
      </c>
      <c r="K854" s="88">
        <v>390.31770000000006</v>
      </c>
      <c r="L854" s="88">
        <v>0</v>
      </c>
      <c r="M854" s="88">
        <v>68.968000000000004</v>
      </c>
      <c r="N854" s="88">
        <v>43.669400000000003</v>
      </c>
      <c r="O854" s="88">
        <v>0</v>
      </c>
      <c r="P854" s="88">
        <v>1694.4531000000002</v>
      </c>
    </row>
    <row r="855" spans="2:16" hidden="1">
      <c r="B855" s="79"/>
      <c r="C855" s="79"/>
      <c r="D855" s="81" t="s">
        <v>180</v>
      </c>
      <c r="E855" s="87">
        <v>2011</v>
      </c>
      <c r="F855" s="88">
        <v>0</v>
      </c>
      <c r="G855" s="88">
        <v>0</v>
      </c>
      <c r="H855" s="88">
        <v>298.24779999999987</v>
      </c>
      <c r="I855" s="88">
        <v>25.839399999999994</v>
      </c>
      <c r="J855" s="88">
        <v>708.2337</v>
      </c>
      <c r="K855" s="88">
        <v>346.05930000000001</v>
      </c>
      <c r="L855" s="88">
        <v>0</v>
      </c>
      <c r="M855" s="88">
        <v>59.975300000000004</v>
      </c>
      <c r="N855" s="88">
        <v>24.641200000000001</v>
      </c>
      <c r="O855" s="88">
        <v>0</v>
      </c>
      <c r="P855" s="88">
        <v>1462.9967000000006</v>
      </c>
    </row>
    <row r="856" spans="2:16" hidden="1">
      <c r="B856" s="79"/>
      <c r="C856" s="79"/>
      <c r="D856" s="81" t="s">
        <v>180</v>
      </c>
      <c r="E856" s="82">
        <v>2012</v>
      </c>
      <c r="F856" s="83">
        <v>0</v>
      </c>
      <c r="G856" s="83">
        <v>0</v>
      </c>
      <c r="H856" s="83">
        <v>319.58189999999979</v>
      </c>
      <c r="I856" s="83">
        <v>36.602700000000013</v>
      </c>
      <c r="J856" s="83">
        <v>484.10880000000003</v>
      </c>
      <c r="K856" s="83">
        <v>351.88720000000006</v>
      </c>
      <c r="L856" s="83">
        <v>0</v>
      </c>
      <c r="M856" s="83">
        <v>65.663499999999999</v>
      </c>
      <c r="N856" s="83">
        <v>75.257699999999971</v>
      </c>
      <c r="O856" s="83">
        <v>0</v>
      </c>
      <c r="P856" s="83">
        <v>1333.1018000000008</v>
      </c>
    </row>
    <row r="857" spans="2:16" hidden="1">
      <c r="B857" s="79"/>
      <c r="C857" s="79"/>
      <c r="D857" s="77" t="s">
        <v>180</v>
      </c>
      <c r="E857" s="87">
        <v>2005</v>
      </c>
      <c r="F857" s="88">
        <v>0</v>
      </c>
      <c r="G857" s="88">
        <v>0</v>
      </c>
      <c r="H857" s="88">
        <v>0</v>
      </c>
      <c r="I857" s="88">
        <v>0</v>
      </c>
      <c r="J857" s="88">
        <v>0</v>
      </c>
      <c r="K857" s="88">
        <v>0</v>
      </c>
      <c r="L857" s="88">
        <v>0</v>
      </c>
      <c r="M857" s="88">
        <v>0</v>
      </c>
      <c r="N857" s="88">
        <v>0</v>
      </c>
      <c r="O857" s="88">
        <v>0</v>
      </c>
      <c r="P857" s="88">
        <v>0</v>
      </c>
    </row>
    <row r="858" spans="2:16" hidden="1">
      <c r="B858" s="79"/>
      <c r="C858" s="79"/>
      <c r="D858" s="81" t="s">
        <v>179</v>
      </c>
      <c r="E858" s="87">
        <v>2006</v>
      </c>
      <c r="F858" s="88">
        <v>0</v>
      </c>
      <c r="G858" s="88">
        <v>0</v>
      </c>
      <c r="H858" s="88">
        <v>0</v>
      </c>
      <c r="I858" s="88">
        <v>0</v>
      </c>
      <c r="J858" s="88">
        <v>0</v>
      </c>
      <c r="K858" s="88">
        <v>0</v>
      </c>
      <c r="L858" s="88">
        <v>0</v>
      </c>
      <c r="M858" s="88">
        <v>0</v>
      </c>
      <c r="N858" s="88">
        <v>0</v>
      </c>
      <c r="O858" s="88">
        <v>0</v>
      </c>
      <c r="P858" s="88">
        <v>0</v>
      </c>
    </row>
    <row r="859" spans="2:16" hidden="1">
      <c r="B859" s="79"/>
      <c r="C859" s="79"/>
      <c r="D859" s="81" t="s">
        <v>179</v>
      </c>
      <c r="E859" s="87">
        <v>2007</v>
      </c>
      <c r="F859" s="88">
        <v>0</v>
      </c>
      <c r="G859" s="88">
        <v>0</v>
      </c>
      <c r="H859" s="88">
        <v>0</v>
      </c>
      <c r="I859" s="88">
        <v>0</v>
      </c>
      <c r="J859" s="88">
        <v>0</v>
      </c>
      <c r="K859" s="88">
        <v>0</v>
      </c>
      <c r="L859" s="88">
        <v>0</v>
      </c>
      <c r="M859" s="88">
        <v>0</v>
      </c>
      <c r="N859" s="88">
        <v>0</v>
      </c>
      <c r="O859" s="88">
        <v>0</v>
      </c>
      <c r="P859" s="88">
        <v>0</v>
      </c>
    </row>
    <row r="860" spans="2:16" hidden="1">
      <c r="B860" s="79"/>
      <c r="C860" s="79"/>
      <c r="D860" s="81" t="s">
        <v>179</v>
      </c>
      <c r="E860" s="87">
        <v>2008</v>
      </c>
      <c r="F860" s="88">
        <v>0</v>
      </c>
      <c r="G860" s="88">
        <v>0</v>
      </c>
      <c r="H860" s="88">
        <v>0</v>
      </c>
      <c r="I860" s="88">
        <v>0</v>
      </c>
      <c r="J860" s="88">
        <v>0</v>
      </c>
      <c r="K860" s="88">
        <v>0</v>
      </c>
      <c r="L860" s="88">
        <v>0</v>
      </c>
      <c r="M860" s="88">
        <v>0</v>
      </c>
      <c r="N860" s="88">
        <v>0</v>
      </c>
      <c r="O860" s="88">
        <v>0</v>
      </c>
      <c r="P860" s="88">
        <v>0</v>
      </c>
    </row>
    <row r="861" spans="2:16" hidden="1">
      <c r="B861" s="79"/>
      <c r="C861" s="79"/>
      <c r="D861" s="81" t="s">
        <v>179</v>
      </c>
      <c r="E861" s="87">
        <v>2009</v>
      </c>
      <c r="F861" s="88">
        <v>0</v>
      </c>
      <c r="G861" s="88">
        <v>0</v>
      </c>
      <c r="H861" s="88">
        <v>0</v>
      </c>
      <c r="I861" s="88">
        <v>0</v>
      </c>
      <c r="J861" s="88">
        <v>0</v>
      </c>
      <c r="K861" s="88">
        <v>0</v>
      </c>
      <c r="L861" s="88">
        <v>0</v>
      </c>
      <c r="M861" s="88">
        <v>0</v>
      </c>
      <c r="N861" s="88">
        <v>0</v>
      </c>
      <c r="O861" s="88">
        <v>0</v>
      </c>
      <c r="P861" s="88">
        <v>0</v>
      </c>
    </row>
    <row r="862" spans="2:16" hidden="1">
      <c r="B862" s="79"/>
      <c r="C862" s="79"/>
      <c r="D862" s="81" t="s">
        <v>179</v>
      </c>
      <c r="E862" s="87">
        <v>2010</v>
      </c>
      <c r="F862" s="88">
        <v>0</v>
      </c>
      <c r="G862" s="88">
        <v>0</v>
      </c>
      <c r="H862" s="88">
        <v>0</v>
      </c>
      <c r="I862" s="88">
        <v>0</v>
      </c>
      <c r="J862" s="88">
        <v>0</v>
      </c>
      <c r="K862" s="88">
        <v>0</v>
      </c>
      <c r="L862" s="88">
        <v>0</v>
      </c>
      <c r="M862" s="88">
        <v>0</v>
      </c>
      <c r="N862" s="88">
        <v>0</v>
      </c>
      <c r="O862" s="88">
        <v>0</v>
      </c>
      <c r="P862" s="88">
        <v>0</v>
      </c>
    </row>
    <row r="863" spans="2:16" hidden="1">
      <c r="B863" s="79"/>
      <c r="C863" s="79"/>
      <c r="D863" s="81" t="s">
        <v>179</v>
      </c>
      <c r="E863" s="87">
        <v>2011</v>
      </c>
      <c r="F863" s="88">
        <v>0</v>
      </c>
      <c r="G863" s="88">
        <v>0</v>
      </c>
      <c r="H863" s="88">
        <v>0</v>
      </c>
      <c r="I863" s="88">
        <v>0</v>
      </c>
      <c r="J863" s="88">
        <v>0</v>
      </c>
      <c r="K863" s="88">
        <v>0</v>
      </c>
      <c r="L863" s="88">
        <v>0</v>
      </c>
      <c r="M863" s="88">
        <v>0</v>
      </c>
      <c r="N863" s="88">
        <v>0</v>
      </c>
      <c r="O863" s="88">
        <v>0</v>
      </c>
      <c r="P863" s="88">
        <v>0</v>
      </c>
    </row>
    <row r="864" spans="2:16" hidden="1">
      <c r="B864" s="79"/>
      <c r="C864" s="79"/>
      <c r="D864" s="81" t="s">
        <v>179</v>
      </c>
      <c r="E864" s="82">
        <v>2012</v>
      </c>
      <c r="F864" s="83">
        <v>0</v>
      </c>
      <c r="G864" s="83">
        <v>0</v>
      </c>
      <c r="H864" s="83">
        <v>0</v>
      </c>
      <c r="I864" s="83">
        <v>0</v>
      </c>
      <c r="J864" s="83">
        <v>0</v>
      </c>
      <c r="K864" s="83">
        <v>0</v>
      </c>
      <c r="L864" s="83">
        <v>0</v>
      </c>
      <c r="M864" s="83">
        <v>0</v>
      </c>
      <c r="N864" s="83">
        <v>0</v>
      </c>
      <c r="O864" s="83">
        <v>0</v>
      </c>
      <c r="P864" s="83">
        <v>0</v>
      </c>
    </row>
    <row r="865" spans="2:16" hidden="1">
      <c r="B865" s="79"/>
      <c r="C865" s="79"/>
      <c r="D865" s="77" t="s">
        <v>119</v>
      </c>
      <c r="E865" s="87">
        <v>2005</v>
      </c>
      <c r="F865" s="88">
        <v>0</v>
      </c>
      <c r="G865" s="88">
        <v>0</v>
      </c>
      <c r="H865" s="88">
        <v>319.30869999999999</v>
      </c>
      <c r="I865" s="88">
        <v>0</v>
      </c>
      <c r="J865" s="88">
        <v>1232.9386999999997</v>
      </c>
      <c r="K865" s="88">
        <v>195.61720000000005</v>
      </c>
      <c r="L865" s="88">
        <v>0</v>
      </c>
      <c r="M865" s="88">
        <v>25.798199999999998</v>
      </c>
      <c r="N865" s="88">
        <v>127.7389</v>
      </c>
      <c r="O865" s="88">
        <v>0</v>
      </c>
      <c r="P865" s="88">
        <v>1901.4016999999994</v>
      </c>
    </row>
    <row r="866" spans="2:16" hidden="1">
      <c r="B866" s="79"/>
      <c r="C866" s="79"/>
      <c r="D866" s="81" t="s">
        <v>119</v>
      </c>
      <c r="E866" s="87">
        <v>2006</v>
      </c>
      <c r="F866" s="88">
        <v>0</v>
      </c>
      <c r="G866" s="88">
        <v>0</v>
      </c>
      <c r="H866" s="88">
        <v>245.69930000000008</v>
      </c>
      <c r="I866" s="88">
        <v>0</v>
      </c>
      <c r="J866" s="88">
        <v>1111.3226999999997</v>
      </c>
      <c r="K866" s="88">
        <v>210.02400000000009</v>
      </c>
      <c r="L866" s="88">
        <v>0</v>
      </c>
      <c r="M866" s="88">
        <v>35.260999999999989</v>
      </c>
      <c r="N866" s="88">
        <v>167.62490000000003</v>
      </c>
      <c r="O866" s="88">
        <v>0</v>
      </c>
      <c r="P866" s="88">
        <v>1769.9319</v>
      </c>
    </row>
    <row r="867" spans="2:16" hidden="1">
      <c r="B867" s="79"/>
      <c r="C867" s="79"/>
      <c r="D867" s="81" t="s">
        <v>119</v>
      </c>
      <c r="E867" s="87">
        <v>2007</v>
      </c>
      <c r="F867" s="88">
        <v>0</v>
      </c>
      <c r="G867" s="88">
        <v>0</v>
      </c>
      <c r="H867" s="88">
        <v>210.03650000000005</v>
      </c>
      <c r="I867" s="88">
        <v>0</v>
      </c>
      <c r="J867" s="88">
        <v>725.55739999999992</v>
      </c>
      <c r="K867" s="88">
        <v>449.0779</v>
      </c>
      <c r="L867" s="88">
        <v>0</v>
      </c>
      <c r="M867" s="88">
        <v>78.113900000000015</v>
      </c>
      <c r="N867" s="88">
        <v>92.86490000000002</v>
      </c>
      <c r="O867" s="88">
        <v>0</v>
      </c>
      <c r="P867" s="88">
        <v>1555.6506000000006</v>
      </c>
    </row>
    <row r="868" spans="2:16" hidden="1">
      <c r="B868" s="79"/>
      <c r="C868" s="79"/>
      <c r="D868" s="81" t="s">
        <v>119</v>
      </c>
      <c r="E868" s="87">
        <v>2008</v>
      </c>
      <c r="F868" s="88">
        <v>0</v>
      </c>
      <c r="G868" s="88">
        <v>0</v>
      </c>
      <c r="H868" s="88">
        <v>263.00700000000001</v>
      </c>
      <c r="I868" s="88">
        <v>0</v>
      </c>
      <c r="J868" s="88">
        <v>816.27499999999975</v>
      </c>
      <c r="K868" s="88">
        <v>448.77860000000015</v>
      </c>
      <c r="L868" s="88">
        <v>0</v>
      </c>
      <c r="M868" s="88">
        <v>61.882900000000006</v>
      </c>
      <c r="N868" s="88">
        <v>52.757000000000005</v>
      </c>
      <c r="O868" s="88">
        <v>0</v>
      </c>
      <c r="P868" s="88">
        <v>1642.7005000000001</v>
      </c>
    </row>
    <row r="869" spans="2:16" hidden="1">
      <c r="B869" s="79"/>
      <c r="C869" s="79"/>
      <c r="D869" s="81" t="s">
        <v>119</v>
      </c>
      <c r="E869" s="87">
        <v>2009</v>
      </c>
      <c r="F869" s="88">
        <v>0</v>
      </c>
      <c r="G869" s="88">
        <v>0</v>
      </c>
      <c r="H869" s="88">
        <v>274.67489999999998</v>
      </c>
      <c r="I869" s="88">
        <v>0</v>
      </c>
      <c r="J869" s="88">
        <v>773.13149999999985</v>
      </c>
      <c r="K869" s="88">
        <v>369.39370000000002</v>
      </c>
      <c r="L869" s="88">
        <v>0</v>
      </c>
      <c r="M869" s="88">
        <v>59.810100000000013</v>
      </c>
      <c r="N869" s="88">
        <v>43.761199999999995</v>
      </c>
      <c r="O869" s="88">
        <v>0</v>
      </c>
      <c r="P869" s="88">
        <v>1520.7713999999999</v>
      </c>
    </row>
    <row r="870" spans="2:16" hidden="1">
      <c r="B870" s="79"/>
      <c r="C870" s="79"/>
      <c r="D870" s="81" t="s">
        <v>119</v>
      </c>
      <c r="E870" s="87">
        <v>2010</v>
      </c>
      <c r="F870" s="88">
        <v>0</v>
      </c>
      <c r="G870" s="88">
        <v>0</v>
      </c>
      <c r="H870" s="88">
        <v>292.42450000000002</v>
      </c>
      <c r="I870" s="88">
        <v>4.4783999999999997</v>
      </c>
      <c r="J870" s="88">
        <v>894.59509999999989</v>
      </c>
      <c r="K870" s="88">
        <v>390.31770000000006</v>
      </c>
      <c r="L870" s="88">
        <v>0</v>
      </c>
      <c r="M870" s="88">
        <v>68.968000000000004</v>
      </c>
      <c r="N870" s="88">
        <v>43.669400000000003</v>
      </c>
      <c r="O870" s="88">
        <v>0</v>
      </c>
      <c r="P870" s="88">
        <v>1694.4531000000002</v>
      </c>
    </row>
    <row r="871" spans="2:16" hidden="1">
      <c r="B871" s="79"/>
      <c r="C871" s="79"/>
      <c r="D871" s="81" t="s">
        <v>119</v>
      </c>
      <c r="E871" s="87">
        <v>2011</v>
      </c>
      <c r="F871" s="88">
        <v>0</v>
      </c>
      <c r="G871" s="88">
        <v>0</v>
      </c>
      <c r="H871" s="88">
        <v>298.24779999999987</v>
      </c>
      <c r="I871" s="88">
        <v>25.839399999999994</v>
      </c>
      <c r="J871" s="88">
        <v>708.2337</v>
      </c>
      <c r="K871" s="88">
        <v>346.05930000000001</v>
      </c>
      <c r="L871" s="88">
        <v>0</v>
      </c>
      <c r="M871" s="88">
        <v>59.975300000000004</v>
      </c>
      <c r="N871" s="88">
        <v>24.641200000000001</v>
      </c>
      <c r="O871" s="88">
        <v>0</v>
      </c>
      <c r="P871" s="88">
        <v>1462.9967000000006</v>
      </c>
    </row>
    <row r="872" spans="2:16" hidden="1">
      <c r="B872" s="79"/>
      <c r="C872" s="89"/>
      <c r="D872" s="81" t="s">
        <v>119</v>
      </c>
      <c r="E872" s="82">
        <v>2012</v>
      </c>
      <c r="F872" s="83">
        <v>0</v>
      </c>
      <c r="G872" s="83">
        <v>0</v>
      </c>
      <c r="H872" s="83">
        <v>319.58189999999979</v>
      </c>
      <c r="I872" s="83">
        <v>36.602700000000013</v>
      </c>
      <c r="J872" s="83">
        <v>484.10880000000003</v>
      </c>
      <c r="K872" s="83">
        <v>351.88720000000006</v>
      </c>
      <c r="L872" s="83">
        <v>0</v>
      </c>
      <c r="M872" s="83">
        <v>65.663499999999999</v>
      </c>
      <c r="N872" s="83">
        <v>75.257699999999971</v>
      </c>
      <c r="O872" s="83">
        <v>0</v>
      </c>
      <c r="P872" s="83">
        <v>1333.1018000000008</v>
      </c>
    </row>
    <row r="873" spans="2:16" hidden="1">
      <c r="B873" s="79"/>
      <c r="C873" s="76" t="s">
        <v>208</v>
      </c>
      <c r="D873" s="77" t="s">
        <v>179</v>
      </c>
      <c r="E873" s="87">
        <v>2005</v>
      </c>
      <c r="F873" s="86">
        <v>87.85029999999999</v>
      </c>
      <c r="G873" s="86">
        <v>618.14439999999934</v>
      </c>
      <c r="H873" s="86">
        <v>146.42639999999997</v>
      </c>
      <c r="I873" s="86">
        <v>551.13429999999948</v>
      </c>
      <c r="J873" s="86">
        <v>12.828199999999999</v>
      </c>
      <c r="K873" s="86">
        <v>217.65610000000001</v>
      </c>
      <c r="L873" s="86">
        <v>0</v>
      </c>
      <c r="M873" s="86">
        <v>0</v>
      </c>
      <c r="N873" s="86">
        <v>36.457900000000002</v>
      </c>
      <c r="O873" s="86">
        <v>0</v>
      </c>
      <c r="P873" s="86">
        <v>1670.4976000000029</v>
      </c>
    </row>
    <row r="874" spans="2:16" hidden="1">
      <c r="B874" s="79"/>
      <c r="C874" s="79"/>
      <c r="D874" s="81" t="s">
        <v>180</v>
      </c>
      <c r="E874" s="87">
        <v>2006</v>
      </c>
      <c r="F874" s="88">
        <v>18.200000000000003</v>
      </c>
      <c r="G874" s="88">
        <v>638.68339999999966</v>
      </c>
      <c r="H874" s="88">
        <v>192.36940000000001</v>
      </c>
      <c r="I874" s="88">
        <v>824.39019999999903</v>
      </c>
      <c r="J874" s="88">
        <v>40.155199999999994</v>
      </c>
      <c r="K874" s="88">
        <v>280.38630000000018</v>
      </c>
      <c r="L874" s="88">
        <v>0</v>
      </c>
      <c r="M874" s="88">
        <v>0</v>
      </c>
      <c r="N874" s="88">
        <v>45.269100000000002</v>
      </c>
      <c r="O874" s="88">
        <v>0.76900000000000002</v>
      </c>
      <c r="P874" s="88">
        <v>2040.2226000000039</v>
      </c>
    </row>
    <row r="875" spans="2:16" hidden="1">
      <c r="B875" s="79"/>
      <c r="C875" s="79"/>
      <c r="D875" s="81" t="s">
        <v>180</v>
      </c>
      <c r="E875" s="87">
        <v>2007</v>
      </c>
      <c r="F875" s="88">
        <v>8.5</v>
      </c>
      <c r="G875" s="88">
        <v>343.14709999999968</v>
      </c>
      <c r="H875" s="88">
        <v>106.66930000000002</v>
      </c>
      <c r="I875" s="88">
        <v>1166.3866000000005</v>
      </c>
      <c r="J875" s="88">
        <v>54.818100000000001</v>
      </c>
      <c r="K875" s="88">
        <v>248.31570000000011</v>
      </c>
      <c r="L875" s="88">
        <v>0</v>
      </c>
      <c r="M875" s="88">
        <v>0</v>
      </c>
      <c r="N875" s="88">
        <v>32.708000000000006</v>
      </c>
      <c r="O875" s="88">
        <v>1.7690000000000001</v>
      </c>
      <c r="P875" s="88">
        <v>1962.3138000000019</v>
      </c>
    </row>
    <row r="876" spans="2:16" hidden="1">
      <c r="B876" s="79"/>
      <c r="C876" s="79"/>
      <c r="D876" s="81" t="s">
        <v>180</v>
      </c>
      <c r="E876" s="87">
        <v>2008</v>
      </c>
      <c r="F876" s="88">
        <v>13</v>
      </c>
      <c r="G876" s="88">
        <v>317.28059999999959</v>
      </c>
      <c r="H876" s="88">
        <v>104.49980000000002</v>
      </c>
      <c r="I876" s="88">
        <v>1056.1275000000001</v>
      </c>
      <c r="J876" s="88">
        <v>165.43769999999995</v>
      </c>
      <c r="K876" s="88">
        <v>207.25869999999998</v>
      </c>
      <c r="L876" s="88">
        <v>0</v>
      </c>
      <c r="M876" s="88">
        <v>0</v>
      </c>
      <c r="N876" s="88">
        <v>33.740499999999997</v>
      </c>
      <c r="O876" s="88">
        <v>7.9994000000000005</v>
      </c>
      <c r="P876" s="88">
        <v>1905.3442000000005</v>
      </c>
    </row>
    <row r="877" spans="2:16" hidden="1">
      <c r="B877" s="79"/>
      <c r="C877" s="79"/>
      <c r="D877" s="81" t="s">
        <v>180</v>
      </c>
      <c r="E877" s="87">
        <v>2009</v>
      </c>
      <c r="F877" s="88">
        <v>8.2501000000000033</v>
      </c>
      <c r="G877" s="88">
        <v>268.13179999999971</v>
      </c>
      <c r="H877" s="88">
        <v>205.68010000000001</v>
      </c>
      <c r="I877" s="88">
        <v>1160.1118000000006</v>
      </c>
      <c r="J877" s="88">
        <v>369.59419999999989</v>
      </c>
      <c r="K877" s="88">
        <v>318.06190000000015</v>
      </c>
      <c r="L877" s="88">
        <v>0</v>
      </c>
      <c r="M877" s="88">
        <v>0</v>
      </c>
      <c r="N877" s="88">
        <v>49.244500000000009</v>
      </c>
      <c r="O877" s="88">
        <v>11.4016</v>
      </c>
      <c r="P877" s="88">
        <v>2390.4760000000015</v>
      </c>
    </row>
    <row r="878" spans="2:16" hidden="1">
      <c r="B878" s="79"/>
      <c r="C878" s="79"/>
      <c r="D878" s="81" t="s">
        <v>180</v>
      </c>
      <c r="E878" s="87">
        <v>2010</v>
      </c>
      <c r="F878" s="88">
        <v>22.005499999999998</v>
      </c>
      <c r="G878" s="88">
        <v>59.018700000000003</v>
      </c>
      <c r="H878" s="88">
        <v>500.80229999999989</v>
      </c>
      <c r="I878" s="88">
        <v>975.59110000000032</v>
      </c>
      <c r="J878" s="88">
        <v>91.102800000000016</v>
      </c>
      <c r="K878" s="88">
        <v>739.15880000000027</v>
      </c>
      <c r="L878" s="88">
        <v>0</v>
      </c>
      <c r="M878" s="88">
        <v>0</v>
      </c>
      <c r="N878" s="88">
        <v>66.770499999999998</v>
      </c>
      <c r="O878" s="88">
        <v>28.5</v>
      </c>
      <c r="P878" s="88">
        <v>2482.9497000000001</v>
      </c>
    </row>
    <row r="879" spans="2:16" hidden="1">
      <c r="B879" s="79"/>
      <c r="C879" s="79"/>
      <c r="D879" s="81" t="s">
        <v>180</v>
      </c>
      <c r="E879" s="87">
        <v>2011</v>
      </c>
      <c r="F879" s="88">
        <v>67.005500000000012</v>
      </c>
      <c r="G879" s="88">
        <v>18.6447</v>
      </c>
      <c r="H879" s="88">
        <v>488.50450000000006</v>
      </c>
      <c r="I879" s="88">
        <v>1001.3374000000006</v>
      </c>
      <c r="J879" s="88">
        <v>30.907599999999999</v>
      </c>
      <c r="K879" s="88">
        <v>1056.5299999999991</v>
      </c>
      <c r="L879" s="88">
        <v>0</v>
      </c>
      <c r="M879" s="88">
        <v>0</v>
      </c>
      <c r="N879" s="88">
        <v>83.55</v>
      </c>
      <c r="O879" s="88">
        <v>39.17</v>
      </c>
      <c r="P879" s="88">
        <v>2785.6496999999968</v>
      </c>
    </row>
    <row r="880" spans="2:16" hidden="1">
      <c r="B880" s="79"/>
      <c r="C880" s="79"/>
      <c r="D880" s="81" t="s">
        <v>180</v>
      </c>
      <c r="E880" s="82">
        <v>2012</v>
      </c>
      <c r="F880" s="83">
        <v>79.005499999999998</v>
      </c>
      <c r="G880" s="83">
        <v>6.1274999999999995</v>
      </c>
      <c r="H880" s="83">
        <v>559.95800000000031</v>
      </c>
      <c r="I880" s="83">
        <v>1031.8651000000009</v>
      </c>
      <c r="J880" s="83">
        <v>0</v>
      </c>
      <c r="K880" s="83">
        <v>1109.1826000000001</v>
      </c>
      <c r="L880" s="83">
        <v>0</v>
      </c>
      <c r="M880" s="83">
        <v>0</v>
      </c>
      <c r="N880" s="83">
        <v>78</v>
      </c>
      <c r="O880" s="83">
        <v>41.9998</v>
      </c>
      <c r="P880" s="83">
        <v>2906.1384999999987</v>
      </c>
    </row>
    <row r="881" spans="2:16" hidden="1">
      <c r="B881" s="79"/>
      <c r="C881" s="79"/>
      <c r="D881" s="77" t="s">
        <v>180</v>
      </c>
      <c r="E881" s="87">
        <v>2005</v>
      </c>
      <c r="F881" s="88">
        <v>0</v>
      </c>
      <c r="G881" s="88">
        <v>0</v>
      </c>
      <c r="H881" s="88">
        <v>0</v>
      </c>
      <c r="I881" s="88">
        <v>0</v>
      </c>
      <c r="J881" s="88">
        <v>0</v>
      </c>
      <c r="K881" s="88">
        <v>0</v>
      </c>
      <c r="L881" s="88">
        <v>0</v>
      </c>
      <c r="M881" s="88">
        <v>0</v>
      </c>
      <c r="N881" s="88">
        <v>0</v>
      </c>
      <c r="O881" s="88">
        <v>0</v>
      </c>
      <c r="P881" s="88">
        <v>0</v>
      </c>
    </row>
    <row r="882" spans="2:16" hidden="1">
      <c r="B882" s="79"/>
      <c r="C882" s="79"/>
      <c r="D882" s="81" t="s">
        <v>179</v>
      </c>
      <c r="E882" s="87">
        <v>2006</v>
      </c>
      <c r="F882" s="88">
        <v>0</v>
      </c>
      <c r="G882" s="88">
        <v>0</v>
      </c>
      <c r="H882" s="88">
        <v>0</v>
      </c>
      <c r="I882" s="88">
        <v>0</v>
      </c>
      <c r="J882" s="88">
        <v>0</v>
      </c>
      <c r="K882" s="88">
        <v>0</v>
      </c>
      <c r="L882" s="88">
        <v>0</v>
      </c>
      <c r="M882" s="88">
        <v>0</v>
      </c>
      <c r="N882" s="88">
        <v>0</v>
      </c>
      <c r="O882" s="88">
        <v>0</v>
      </c>
      <c r="P882" s="88">
        <v>0</v>
      </c>
    </row>
    <row r="883" spans="2:16" hidden="1">
      <c r="B883" s="79"/>
      <c r="C883" s="79"/>
      <c r="D883" s="81" t="s">
        <v>179</v>
      </c>
      <c r="E883" s="87">
        <v>2007</v>
      </c>
      <c r="F883" s="88">
        <v>0</v>
      </c>
      <c r="G883" s="88">
        <v>0</v>
      </c>
      <c r="H883" s="88">
        <v>0</v>
      </c>
      <c r="I883" s="88">
        <v>0</v>
      </c>
      <c r="J883" s="88">
        <v>0</v>
      </c>
      <c r="K883" s="88">
        <v>0</v>
      </c>
      <c r="L883" s="88">
        <v>0</v>
      </c>
      <c r="M883" s="88">
        <v>0</v>
      </c>
      <c r="N883" s="88">
        <v>0</v>
      </c>
      <c r="O883" s="88">
        <v>0</v>
      </c>
      <c r="P883" s="88">
        <v>0</v>
      </c>
    </row>
    <row r="884" spans="2:16" hidden="1">
      <c r="B884" s="79"/>
      <c r="C884" s="79"/>
      <c r="D884" s="81" t="s">
        <v>179</v>
      </c>
      <c r="E884" s="87">
        <v>2008</v>
      </c>
      <c r="F884" s="88">
        <v>0</v>
      </c>
      <c r="G884" s="88">
        <v>0</v>
      </c>
      <c r="H884" s="88">
        <v>0</v>
      </c>
      <c r="I884" s="88">
        <v>0</v>
      </c>
      <c r="J884" s="88">
        <v>0</v>
      </c>
      <c r="K884" s="88">
        <v>0</v>
      </c>
      <c r="L884" s="88">
        <v>0</v>
      </c>
      <c r="M884" s="88">
        <v>0</v>
      </c>
      <c r="N884" s="88">
        <v>0</v>
      </c>
      <c r="O884" s="88">
        <v>0</v>
      </c>
      <c r="P884" s="88">
        <v>0</v>
      </c>
    </row>
    <row r="885" spans="2:16" hidden="1">
      <c r="B885" s="79"/>
      <c r="C885" s="79"/>
      <c r="D885" s="81" t="s">
        <v>179</v>
      </c>
      <c r="E885" s="87">
        <v>2009</v>
      </c>
      <c r="F885" s="88">
        <v>0</v>
      </c>
      <c r="G885" s="88">
        <v>0</v>
      </c>
      <c r="H885" s="88">
        <v>0</v>
      </c>
      <c r="I885" s="88">
        <v>0</v>
      </c>
      <c r="J885" s="88">
        <v>0</v>
      </c>
      <c r="K885" s="88">
        <v>0</v>
      </c>
      <c r="L885" s="88">
        <v>0</v>
      </c>
      <c r="M885" s="88">
        <v>0</v>
      </c>
      <c r="N885" s="88">
        <v>0</v>
      </c>
      <c r="O885" s="88">
        <v>0</v>
      </c>
      <c r="P885" s="88">
        <v>0</v>
      </c>
    </row>
    <row r="886" spans="2:16" hidden="1">
      <c r="B886" s="79"/>
      <c r="C886" s="79"/>
      <c r="D886" s="81" t="s">
        <v>179</v>
      </c>
      <c r="E886" s="87">
        <v>2010</v>
      </c>
      <c r="F886" s="88">
        <v>0</v>
      </c>
      <c r="G886" s="88">
        <v>0</v>
      </c>
      <c r="H886" s="88">
        <v>0</v>
      </c>
      <c r="I886" s="88">
        <v>0</v>
      </c>
      <c r="J886" s="88">
        <v>0</v>
      </c>
      <c r="K886" s="88">
        <v>0</v>
      </c>
      <c r="L886" s="88">
        <v>0</v>
      </c>
      <c r="M886" s="88">
        <v>0</v>
      </c>
      <c r="N886" s="88">
        <v>0</v>
      </c>
      <c r="O886" s="88">
        <v>0</v>
      </c>
      <c r="P886" s="88">
        <v>0</v>
      </c>
    </row>
    <row r="887" spans="2:16" hidden="1">
      <c r="B887" s="79"/>
      <c r="C887" s="79"/>
      <c r="D887" s="81" t="s">
        <v>179</v>
      </c>
      <c r="E887" s="87">
        <v>2011</v>
      </c>
      <c r="F887" s="88">
        <v>0</v>
      </c>
      <c r="G887" s="88">
        <v>0</v>
      </c>
      <c r="H887" s="88">
        <v>0</v>
      </c>
      <c r="I887" s="88">
        <v>0</v>
      </c>
      <c r="J887" s="88">
        <v>0</v>
      </c>
      <c r="K887" s="88">
        <v>0</v>
      </c>
      <c r="L887" s="88">
        <v>0</v>
      </c>
      <c r="M887" s="88">
        <v>0</v>
      </c>
      <c r="N887" s="88">
        <v>0</v>
      </c>
      <c r="O887" s="88">
        <v>2</v>
      </c>
      <c r="P887" s="88">
        <v>2</v>
      </c>
    </row>
    <row r="888" spans="2:16" hidden="1">
      <c r="B888" s="79"/>
      <c r="C888" s="79"/>
      <c r="D888" s="81" t="s">
        <v>179</v>
      </c>
      <c r="E888" s="82">
        <v>2012</v>
      </c>
      <c r="F888" s="83">
        <v>0</v>
      </c>
      <c r="G888" s="83">
        <v>0</v>
      </c>
      <c r="H888" s="83">
        <v>0</v>
      </c>
      <c r="I888" s="83">
        <v>0</v>
      </c>
      <c r="J888" s="83">
        <v>0</v>
      </c>
      <c r="K888" s="83">
        <v>0</v>
      </c>
      <c r="L888" s="83">
        <v>0</v>
      </c>
      <c r="M888" s="83">
        <v>0</v>
      </c>
      <c r="N888" s="83">
        <v>0</v>
      </c>
      <c r="O888" s="83">
        <v>0</v>
      </c>
      <c r="P888" s="83">
        <v>0</v>
      </c>
    </row>
    <row r="889" spans="2:16" hidden="1">
      <c r="B889" s="79"/>
      <c r="C889" s="79"/>
      <c r="D889" s="77" t="s">
        <v>119</v>
      </c>
      <c r="E889" s="87">
        <v>2005</v>
      </c>
      <c r="F889" s="88">
        <v>87.85029999999999</v>
      </c>
      <c r="G889" s="88">
        <v>618.14439999999934</v>
      </c>
      <c r="H889" s="88">
        <v>146.42639999999997</v>
      </c>
      <c r="I889" s="88">
        <v>551.13429999999948</v>
      </c>
      <c r="J889" s="88">
        <v>12.828199999999999</v>
      </c>
      <c r="K889" s="88">
        <v>217.65610000000001</v>
      </c>
      <c r="L889" s="88">
        <v>0</v>
      </c>
      <c r="M889" s="88">
        <v>0</v>
      </c>
      <c r="N889" s="88">
        <v>36.457900000000002</v>
      </c>
      <c r="O889" s="88">
        <v>0</v>
      </c>
      <c r="P889" s="88">
        <v>1670.4976000000029</v>
      </c>
    </row>
    <row r="890" spans="2:16" hidden="1">
      <c r="B890" s="79"/>
      <c r="C890" s="79"/>
      <c r="D890" s="81" t="s">
        <v>119</v>
      </c>
      <c r="E890" s="87">
        <v>2006</v>
      </c>
      <c r="F890" s="88">
        <v>18.200000000000003</v>
      </c>
      <c r="G890" s="88">
        <v>638.68339999999966</v>
      </c>
      <c r="H890" s="88">
        <v>192.36940000000001</v>
      </c>
      <c r="I890" s="88">
        <v>824.39019999999903</v>
      </c>
      <c r="J890" s="88">
        <v>40.155199999999994</v>
      </c>
      <c r="K890" s="88">
        <v>280.38630000000018</v>
      </c>
      <c r="L890" s="88">
        <v>0</v>
      </c>
      <c r="M890" s="88">
        <v>0</v>
      </c>
      <c r="N890" s="88">
        <v>45.269100000000002</v>
      </c>
      <c r="O890" s="88">
        <v>0.76900000000000002</v>
      </c>
      <c r="P890" s="88">
        <v>2040.2226000000039</v>
      </c>
    </row>
    <row r="891" spans="2:16" hidden="1">
      <c r="B891" s="79"/>
      <c r="C891" s="79"/>
      <c r="D891" s="81" t="s">
        <v>119</v>
      </c>
      <c r="E891" s="87">
        <v>2007</v>
      </c>
      <c r="F891" s="88">
        <v>8.5</v>
      </c>
      <c r="G891" s="88">
        <v>343.14709999999968</v>
      </c>
      <c r="H891" s="88">
        <v>106.66930000000002</v>
      </c>
      <c r="I891" s="88">
        <v>1166.3866000000005</v>
      </c>
      <c r="J891" s="88">
        <v>54.818100000000001</v>
      </c>
      <c r="K891" s="88">
        <v>248.31570000000011</v>
      </c>
      <c r="L891" s="88">
        <v>0</v>
      </c>
      <c r="M891" s="88">
        <v>0</v>
      </c>
      <c r="N891" s="88">
        <v>32.708000000000006</v>
      </c>
      <c r="O891" s="88">
        <v>1.7690000000000001</v>
      </c>
      <c r="P891" s="88">
        <v>1962.3138000000019</v>
      </c>
    </row>
    <row r="892" spans="2:16" hidden="1">
      <c r="B892" s="79"/>
      <c r="C892" s="79"/>
      <c r="D892" s="81" t="s">
        <v>119</v>
      </c>
      <c r="E892" s="87">
        <v>2008</v>
      </c>
      <c r="F892" s="88">
        <v>13</v>
      </c>
      <c r="G892" s="88">
        <v>317.28059999999959</v>
      </c>
      <c r="H892" s="88">
        <v>104.49980000000002</v>
      </c>
      <c r="I892" s="88">
        <v>1056.1275000000001</v>
      </c>
      <c r="J892" s="88">
        <v>165.43769999999995</v>
      </c>
      <c r="K892" s="88">
        <v>207.25869999999998</v>
      </c>
      <c r="L892" s="88">
        <v>0</v>
      </c>
      <c r="M892" s="88">
        <v>0</v>
      </c>
      <c r="N892" s="88">
        <v>33.740499999999997</v>
      </c>
      <c r="O892" s="88">
        <v>7.9994000000000005</v>
      </c>
      <c r="P892" s="88">
        <v>1905.3442000000005</v>
      </c>
    </row>
    <row r="893" spans="2:16" hidden="1">
      <c r="B893" s="79"/>
      <c r="C893" s="79"/>
      <c r="D893" s="81" t="s">
        <v>119</v>
      </c>
      <c r="E893" s="87">
        <v>2009</v>
      </c>
      <c r="F893" s="88">
        <v>8.2501000000000033</v>
      </c>
      <c r="G893" s="88">
        <v>268.13179999999971</v>
      </c>
      <c r="H893" s="88">
        <v>205.68010000000001</v>
      </c>
      <c r="I893" s="88">
        <v>1160.1118000000006</v>
      </c>
      <c r="J893" s="88">
        <v>369.59419999999989</v>
      </c>
      <c r="K893" s="88">
        <v>318.06190000000015</v>
      </c>
      <c r="L893" s="88">
        <v>0</v>
      </c>
      <c r="M893" s="88">
        <v>0</v>
      </c>
      <c r="N893" s="88">
        <v>49.244500000000009</v>
      </c>
      <c r="O893" s="88">
        <v>11.4016</v>
      </c>
      <c r="P893" s="88">
        <v>2390.4760000000015</v>
      </c>
    </row>
    <row r="894" spans="2:16" hidden="1">
      <c r="B894" s="79"/>
      <c r="C894" s="79"/>
      <c r="D894" s="81" t="s">
        <v>119</v>
      </c>
      <c r="E894" s="87">
        <v>2010</v>
      </c>
      <c r="F894" s="88">
        <v>22.005499999999998</v>
      </c>
      <c r="G894" s="88">
        <v>59.018700000000003</v>
      </c>
      <c r="H894" s="88">
        <v>500.80229999999989</v>
      </c>
      <c r="I894" s="88">
        <v>975.59110000000032</v>
      </c>
      <c r="J894" s="88">
        <v>91.102800000000016</v>
      </c>
      <c r="K894" s="88">
        <v>739.15880000000027</v>
      </c>
      <c r="L894" s="88">
        <v>0</v>
      </c>
      <c r="M894" s="88">
        <v>0</v>
      </c>
      <c r="N894" s="88">
        <v>66.770499999999998</v>
      </c>
      <c r="O894" s="88">
        <v>28.5</v>
      </c>
      <c r="P894" s="88">
        <v>2482.9497000000001</v>
      </c>
    </row>
    <row r="895" spans="2:16" hidden="1">
      <c r="B895" s="79"/>
      <c r="C895" s="79"/>
      <c r="D895" s="81" t="s">
        <v>119</v>
      </c>
      <c r="E895" s="87">
        <v>2011</v>
      </c>
      <c r="F895" s="88">
        <v>67.005500000000012</v>
      </c>
      <c r="G895" s="88">
        <v>18.6447</v>
      </c>
      <c r="H895" s="88">
        <v>488.50450000000006</v>
      </c>
      <c r="I895" s="88">
        <v>1001.3374000000006</v>
      </c>
      <c r="J895" s="88">
        <v>30.907599999999999</v>
      </c>
      <c r="K895" s="88">
        <v>1056.5299999999991</v>
      </c>
      <c r="L895" s="88">
        <v>0</v>
      </c>
      <c r="M895" s="88">
        <v>0</v>
      </c>
      <c r="N895" s="88">
        <v>83.55</v>
      </c>
      <c r="O895" s="88">
        <v>41.17</v>
      </c>
      <c r="P895" s="88">
        <v>2787.6496999999968</v>
      </c>
    </row>
    <row r="896" spans="2:16" hidden="1">
      <c r="B896" s="79"/>
      <c r="C896" s="89"/>
      <c r="D896" s="81" t="s">
        <v>119</v>
      </c>
      <c r="E896" s="82">
        <v>2012</v>
      </c>
      <c r="F896" s="83">
        <v>79.005499999999998</v>
      </c>
      <c r="G896" s="83">
        <v>6.1274999999999995</v>
      </c>
      <c r="H896" s="83">
        <v>559.95800000000031</v>
      </c>
      <c r="I896" s="83">
        <v>1031.8651000000009</v>
      </c>
      <c r="J896" s="83">
        <v>0</v>
      </c>
      <c r="K896" s="83">
        <v>1109.1826000000001</v>
      </c>
      <c r="L896" s="83">
        <v>0</v>
      </c>
      <c r="M896" s="83">
        <v>0</v>
      </c>
      <c r="N896" s="83">
        <v>78</v>
      </c>
      <c r="O896" s="83">
        <v>41.9998</v>
      </c>
      <c r="P896" s="83">
        <v>2906.1384999999987</v>
      </c>
    </row>
    <row r="897" spans="2:16" hidden="1">
      <c r="B897" s="79"/>
      <c r="C897" s="76" t="s">
        <v>119</v>
      </c>
      <c r="D897" s="77" t="s">
        <v>179</v>
      </c>
      <c r="E897" s="87">
        <v>2005</v>
      </c>
      <c r="F897" s="86">
        <v>3668.8140000000008</v>
      </c>
      <c r="G897" s="86">
        <v>7232.212600000018</v>
      </c>
      <c r="H897" s="86">
        <v>4674.2997999999961</v>
      </c>
      <c r="I897" s="86">
        <v>10814.970200000018</v>
      </c>
      <c r="J897" s="86">
        <v>3045.360300000003</v>
      </c>
      <c r="K897" s="86">
        <v>951.8811999999989</v>
      </c>
      <c r="L897" s="86">
        <v>0</v>
      </c>
      <c r="M897" s="86">
        <v>25.798199999999998</v>
      </c>
      <c r="N897" s="86">
        <v>164.1968</v>
      </c>
      <c r="O897" s="86">
        <v>0</v>
      </c>
      <c r="P897" s="86">
        <v>30577.533100000011</v>
      </c>
    </row>
    <row r="898" spans="2:16" hidden="1">
      <c r="B898" s="79"/>
      <c r="C898" s="79"/>
      <c r="D898" s="81" t="s">
        <v>180</v>
      </c>
      <c r="E898" s="87">
        <v>2006</v>
      </c>
      <c r="F898" s="88">
        <v>983.6785000000001</v>
      </c>
      <c r="G898" s="88">
        <v>7548.2722000000194</v>
      </c>
      <c r="H898" s="88">
        <v>3333.8614000000002</v>
      </c>
      <c r="I898" s="88">
        <v>7793.9374999999845</v>
      </c>
      <c r="J898" s="88">
        <v>2750.2182999999986</v>
      </c>
      <c r="K898" s="88">
        <v>821.08329999999978</v>
      </c>
      <c r="L898" s="88">
        <v>0</v>
      </c>
      <c r="M898" s="88">
        <v>35.260999999999989</v>
      </c>
      <c r="N898" s="88">
        <v>212.89400000000003</v>
      </c>
      <c r="O898" s="88">
        <v>0.76900000000000002</v>
      </c>
      <c r="P898" s="88">
        <v>23479.975200000066</v>
      </c>
    </row>
    <row r="899" spans="2:16" hidden="1">
      <c r="B899" s="79"/>
      <c r="C899" s="79"/>
      <c r="D899" s="81" t="s">
        <v>180</v>
      </c>
      <c r="E899" s="87">
        <v>2007</v>
      </c>
      <c r="F899" s="88">
        <v>965.4052999999999</v>
      </c>
      <c r="G899" s="88">
        <v>7808.6984000000166</v>
      </c>
      <c r="H899" s="88">
        <v>3033.5900000000015</v>
      </c>
      <c r="I899" s="88">
        <v>6468.1151000000009</v>
      </c>
      <c r="J899" s="88">
        <v>2544.510499999998</v>
      </c>
      <c r="K899" s="88">
        <v>1069.7604999999999</v>
      </c>
      <c r="L899" s="88">
        <v>0</v>
      </c>
      <c r="M899" s="88">
        <v>78.113900000000015</v>
      </c>
      <c r="N899" s="88">
        <v>125.5729</v>
      </c>
      <c r="O899" s="88">
        <v>1.7690000000000001</v>
      </c>
      <c r="P899" s="88">
        <v>22095.535600000017</v>
      </c>
    </row>
    <row r="900" spans="2:16" hidden="1">
      <c r="B900" s="79"/>
      <c r="C900" s="79"/>
      <c r="D900" s="81" t="s">
        <v>180</v>
      </c>
      <c r="E900" s="87">
        <v>2008</v>
      </c>
      <c r="F900" s="88">
        <v>1089.5715999999998</v>
      </c>
      <c r="G900" s="88">
        <v>7894.7091000000282</v>
      </c>
      <c r="H900" s="88">
        <v>3343.9911999999981</v>
      </c>
      <c r="I900" s="88">
        <v>6275.0706000000027</v>
      </c>
      <c r="J900" s="88">
        <v>2761.4672999999952</v>
      </c>
      <c r="K900" s="88">
        <v>1055.4184999999989</v>
      </c>
      <c r="L900" s="88">
        <v>0</v>
      </c>
      <c r="M900" s="88">
        <v>61.882900000000006</v>
      </c>
      <c r="N900" s="88">
        <v>86.497499999999988</v>
      </c>
      <c r="O900" s="88">
        <v>7.9994000000000005</v>
      </c>
      <c r="P900" s="88">
        <v>22576.608100000049</v>
      </c>
    </row>
    <row r="901" spans="2:16" hidden="1">
      <c r="B901" s="79"/>
      <c r="C901" s="79"/>
      <c r="D901" s="81" t="s">
        <v>180</v>
      </c>
      <c r="E901" s="87">
        <v>2009</v>
      </c>
      <c r="F901" s="88">
        <v>904.96329999999989</v>
      </c>
      <c r="G901" s="88">
        <v>8063.0139000000026</v>
      </c>
      <c r="H901" s="88">
        <v>4727.7095999999947</v>
      </c>
      <c r="I901" s="88">
        <v>6880.2421999999988</v>
      </c>
      <c r="J901" s="88">
        <v>3136.3482000000004</v>
      </c>
      <c r="K901" s="88">
        <v>1230.5030000000002</v>
      </c>
      <c r="L901" s="88">
        <v>25.978400000000001</v>
      </c>
      <c r="M901" s="88">
        <v>59.810100000000013</v>
      </c>
      <c r="N901" s="88">
        <v>93.00569999999999</v>
      </c>
      <c r="O901" s="88">
        <v>11.4016</v>
      </c>
      <c r="P901" s="88">
        <v>25132.97600000005</v>
      </c>
    </row>
    <row r="902" spans="2:16" hidden="1">
      <c r="B902" s="79"/>
      <c r="C902" s="79"/>
      <c r="D902" s="81" t="s">
        <v>180</v>
      </c>
      <c r="E902" s="87">
        <v>2010</v>
      </c>
      <c r="F902" s="88">
        <v>927.77579999999864</v>
      </c>
      <c r="G902" s="88">
        <v>7233.8326000000116</v>
      </c>
      <c r="H902" s="88">
        <v>4867.8431000000028</v>
      </c>
      <c r="I902" s="88">
        <v>7612.156099999992</v>
      </c>
      <c r="J902" s="88">
        <v>3122.3174999999974</v>
      </c>
      <c r="K902" s="88">
        <v>1816.255800000001</v>
      </c>
      <c r="L902" s="88">
        <v>49.687200000000004</v>
      </c>
      <c r="M902" s="88">
        <v>68.968000000000004</v>
      </c>
      <c r="N902" s="88">
        <v>110.43989999999998</v>
      </c>
      <c r="O902" s="88">
        <v>28.5</v>
      </c>
      <c r="P902" s="88">
        <v>25837.77600000002</v>
      </c>
    </row>
    <row r="903" spans="2:16" hidden="1">
      <c r="B903" s="79"/>
      <c r="C903" s="79"/>
      <c r="D903" s="81" t="s">
        <v>180</v>
      </c>
      <c r="E903" s="87">
        <v>2011</v>
      </c>
      <c r="F903" s="88">
        <v>1106.1062999999961</v>
      </c>
      <c r="G903" s="88">
        <v>6813.7874999999985</v>
      </c>
      <c r="H903" s="88">
        <v>4497.2044999999998</v>
      </c>
      <c r="I903" s="88">
        <v>7477.5583999999935</v>
      </c>
      <c r="J903" s="88">
        <v>2158.3062000000004</v>
      </c>
      <c r="K903" s="88">
        <v>2372.9035999999965</v>
      </c>
      <c r="L903" s="88">
        <v>34.153999999999996</v>
      </c>
      <c r="M903" s="88">
        <v>59.975300000000004</v>
      </c>
      <c r="N903" s="88">
        <v>108.19119999999998</v>
      </c>
      <c r="O903" s="88">
        <v>39.17</v>
      </c>
      <c r="P903" s="88">
        <v>24667.357000000044</v>
      </c>
    </row>
    <row r="904" spans="2:16" hidden="1">
      <c r="B904" s="79"/>
      <c r="C904" s="79"/>
      <c r="D904" s="81" t="s">
        <v>180</v>
      </c>
      <c r="E904" s="82">
        <v>2012</v>
      </c>
      <c r="F904" s="83">
        <v>1378.8250999999977</v>
      </c>
      <c r="G904" s="83">
        <v>6693.0487999999968</v>
      </c>
      <c r="H904" s="83">
        <v>4407.8475000000062</v>
      </c>
      <c r="I904" s="83">
        <v>7794.2162999999973</v>
      </c>
      <c r="J904" s="83">
        <v>1765.0411999999999</v>
      </c>
      <c r="K904" s="83">
        <v>2400.4256999999993</v>
      </c>
      <c r="L904" s="83">
        <v>33.095999999999997</v>
      </c>
      <c r="M904" s="83">
        <v>65.663499999999999</v>
      </c>
      <c r="N904" s="83">
        <v>153.2577</v>
      </c>
      <c r="O904" s="83">
        <v>41.9998</v>
      </c>
      <c r="P904" s="83">
        <v>24733.421600000009</v>
      </c>
    </row>
    <row r="905" spans="2:16" hidden="1">
      <c r="B905" s="79"/>
      <c r="C905" s="79"/>
      <c r="D905" s="77" t="s">
        <v>180</v>
      </c>
      <c r="E905" s="87">
        <v>2005</v>
      </c>
      <c r="F905" s="88">
        <v>0</v>
      </c>
      <c r="G905" s="88">
        <v>0</v>
      </c>
      <c r="H905" s="88">
        <v>0</v>
      </c>
      <c r="I905" s="88">
        <v>0.99999999999999978</v>
      </c>
      <c r="J905" s="88">
        <v>0</v>
      </c>
      <c r="K905" s="88">
        <v>8.6082999999999998</v>
      </c>
      <c r="L905" s="88">
        <v>0</v>
      </c>
      <c r="M905" s="88">
        <v>0</v>
      </c>
      <c r="N905" s="88">
        <v>0</v>
      </c>
      <c r="O905" s="88">
        <v>0</v>
      </c>
      <c r="P905" s="88">
        <v>9.6082999999999998</v>
      </c>
    </row>
    <row r="906" spans="2:16" hidden="1">
      <c r="B906" s="79"/>
      <c r="C906" s="79"/>
      <c r="D906" s="81" t="s">
        <v>179</v>
      </c>
      <c r="E906" s="87">
        <v>2006</v>
      </c>
      <c r="F906" s="88">
        <v>0</v>
      </c>
      <c r="G906" s="88">
        <v>0</v>
      </c>
      <c r="H906" s="88">
        <v>0</v>
      </c>
      <c r="I906" s="88">
        <v>0</v>
      </c>
      <c r="J906" s="88">
        <v>0</v>
      </c>
      <c r="K906" s="88">
        <v>0</v>
      </c>
      <c r="L906" s="88">
        <v>0</v>
      </c>
      <c r="M906" s="88">
        <v>0</v>
      </c>
      <c r="N906" s="88">
        <v>0</v>
      </c>
      <c r="O906" s="88">
        <v>0</v>
      </c>
      <c r="P906" s="88">
        <v>0</v>
      </c>
    </row>
    <row r="907" spans="2:16" hidden="1">
      <c r="B907" s="79"/>
      <c r="C907" s="79"/>
      <c r="D907" s="81" t="s">
        <v>179</v>
      </c>
      <c r="E907" s="87">
        <v>2007</v>
      </c>
      <c r="F907" s="88">
        <v>0</v>
      </c>
      <c r="G907" s="88">
        <v>0</v>
      </c>
      <c r="H907" s="88">
        <v>0</v>
      </c>
      <c r="I907" s="88">
        <v>0</v>
      </c>
      <c r="J907" s="88">
        <v>0</v>
      </c>
      <c r="K907" s="88">
        <v>0</v>
      </c>
      <c r="L907" s="88">
        <v>0</v>
      </c>
      <c r="M907" s="88">
        <v>0</v>
      </c>
      <c r="N907" s="88">
        <v>0</v>
      </c>
      <c r="O907" s="88">
        <v>0</v>
      </c>
      <c r="P907" s="88">
        <v>0</v>
      </c>
    </row>
    <row r="908" spans="2:16" hidden="1">
      <c r="B908" s="79"/>
      <c r="C908" s="79"/>
      <c r="D908" s="81" t="s">
        <v>179</v>
      </c>
      <c r="E908" s="87">
        <v>2008</v>
      </c>
      <c r="F908" s="88">
        <v>0</v>
      </c>
      <c r="G908" s="88">
        <v>0</v>
      </c>
      <c r="H908" s="88">
        <v>1.0000000000000002</v>
      </c>
      <c r="I908" s="88">
        <v>0</v>
      </c>
      <c r="J908" s="88">
        <v>0</v>
      </c>
      <c r="K908" s="88">
        <v>0</v>
      </c>
      <c r="L908" s="88">
        <v>0</v>
      </c>
      <c r="M908" s="88">
        <v>0</v>
      </c>
      <c r="N908" s="88">
        <v>0</v>
      </c>
      <c r="O908" s="88">
        <v>0</v>
      </c>
      <c r="P908" s="88">
        <v>1.0000000000000002</v>
      </c>
    </row>
    <row r="909" spans="2:16" hidden="1">
      <c r="B909" s="79"/>
      <c r="C909" s="79"/>
      <c r="D909" s="81" t="s">
        <v>179</v>
      </c>
      <c r="E909" s="87">
        <v>2009</v>
      </c>
      <c r="F909" s="88">
        <v>0</v>
      </c>
      <c r="G909" s="88">
        <v>0</v>
      </c>
      <c r="H909" s="88">
        <v>0</v>
      </c>
      <c r="I909" s="88">
        <v>0</v>
      </c>
      <c r="J909" s="88">
        <v>0</v>
      </c>
      <c r="K909" s="88">
        <v>0</v>
      </c>
      <c r="L909" s="88">
        <v>0</v>
      </c>
      <c r="M909" s="88">
        <v>0</v>
      </c>
      <c r="N909" s="88">
        <v>0</v>
      </c>
      <c r="O909" s="88">
        <v>0</v>
      </c>
      <c r="P909" s="88">
        <v>0</v>
      </c>
    </row>
    <row r="910" spans="2:16" hidden="1">
      <c r="B910" s="79"/>
      <c r="C910" s="79"/>
      <c r="D910" s="81" t="s">
        <v>179</v>
      </c>
      <c r="E910" s="87">
        <v>2010</v>
      </c>
      <c r="F910" s="88">
        <v>0</v>
      </c>
      <c r="G910" s="88">
        <v>0</v>
      </c>
      <c r="H910" s="88">
        <v>0</v>
      </c>
      <c r="I910" s="88">
        <v>0</v>
      </c>
      <c r="J910" s="88">
        <v>0</v>
      </c>
      <c r="K910" s="88">
        <v>0</v>
      </c>
      <c r="L910" s="88">
        <v>0</v>
      </c>
      <c r="M910" s="88">
        <v>0</v>
      </c>
      <c r="N910" s="88">
        <v>0</v>
      </c>
      <c r="O910" s="88">
        <v>0</v>
      </c>
      <c r="P910" s="88">
        <v>0</v>
      </c>
    </row>
    <row r="911" spans="2:16" hidden="1">
      <c r="B911" s="79"/>
      <c r="C911" s="79"/>
      <c r="D911" s="81" t="s">
        <v>179</v>
      </c>
      <c r="E911" s="87">
        <v>2011</v>
      </c>
      <c r="F911" s="88">
        <v>0</v>
      </c>
      <c r="G911" s="88">
        <v>0</v>
      </c>
      <c r="H911" s="88">
        <v>0</v>
      </c>
      <c r="I911" s="88">
        <v>0</v>
      </c>
      <c r="J911" s="88">
        <v>0</v>
      </c>
      <c r="K911" s="88">
        <v>0</v>
      </c>
      <c r="L911" s="88">
        <v>0</v>
      </c>
      <c r="M911" s="88">
        <v>0</v>
      </c>
      <c r="N911" s="88">
        <v>0</v>
      </c>
      <c r="O911" s="88">
        <v>2</v>
      </c>
      <c r="P911" s="88">
        <v>2</v>
      </c>
    </row>
    <row r="912" spans="2:16" hidden="1">
      <c r="B912" s="79"/>
      <c r="C912" s="79"/>
      <c r="D912" s="81" t="s">
        <v>179</v>
      </c>
      <c r="E912" s="82">
        <v>2012</v>
      </c>
      <c r="F912" s="83">
        <v>0</v>
      </c>
      <c r="G912" s="83">
        <v>0</v>
      </c>
      <c r="H912" s="83">
        <v>0</v>
      </c>
      <c r="I912" s="83">
        <v>0</v>
      </c>
      <c r="J912" s="83">
        <v>0</v>
      </c>
      <c r="K912" s="83">
        <v>0</v>
      </c>
      <c r="L912" s="83">
        <v>0</v>
      </c>
      <c r="M912" s="83">
        <v>0</v>
      </c>
      <c r="N912" s="83">
        <v>0</v>
      </c>
      <c r="O912" s="83">
        <v>0</v>
      </c>
      <c r="P912" s="83">
        <v>0</v>
      </c>
    </row>
    <row r="913" spans="2:16" hidden="1">
      <c r="B913" s="79"/>
      <c r="C913" s="79"/>
      <c r="D913" s="77" t="s">
        <v>119</v>
      </c>
      <c r="E913" s="87">
        <v>2005</v>
      </c>
      <c r="F913" s="88">
        <v>3668.8140000000008</v>
      </c>
      <c r="G913" s="88">
        <v>7232.212600000018</v>
      </c>
      <c r="H913" s="88">
        <v>4674.2997999999961</v>
      </c>
      <c r="I913" s="88">
        <v>10815.970200000018</v>
      </c>
      <c r="J913" s="88">
        <v>3045.360300000003</v>
      </c>
      <c r="K913" s="88">
        <v>960.48949999999888</v>
      </c>
      <c r="L913" s="88">
        <v>0</v>
      </c>
      <c r="M913" s="88">
        <v>25.798199999999998</v>
      </c>
      <c r="N913" s="88">
        <v>164.1968</v>
      </c>
      <c r="O913" s="88">
        <v>0</v>
      </c>
      <c r="P913" s="88">
        <v>30587.141400000011</v>
      </c>
    </row>
    <row r="914" spans="2:16" hidden="1">
      <c r="B914" s="79"/>
      <c r="C914" s="79"/>
      <c r="D914" s="81" t="s">
        <v>119</v>
      </c>
      <c r="E914" s="87">
        <v>2006</v>
      </c>
      <c r="F914" s="88">
        <v>983.6785000000001</v>
      </c>
      <c r="G914" s="88">
        <v>7548.2722000000194</v>
      </c>
      <c r="H914" s="88">
        <v>3333.8614000000002</v>
      </c>
      <c r="I914" s="88">
        <v>7793.9374999999845</v>
      </c>
      <c r="J914" s="88">
        <v>2750.2182999999986</v>
      </c>
      <c r="K914" s="88">
        <v>821.08329999999978</v>
      </c>
      <c r="L914" s="88">
        <v>0</v>
      </c>
      <c r="M914" s="88">
        <v>35.260999999999989</v>
      </c>
      <c r="N914" s="88">
        <v>212.89400000000003</v>
      </c>
      <c r="O914" s="88">
        <v>0.76900000000000002</v>
      </c>
      <c r="P914" s="88">
        <v>23479.975200000066</v>
      </c>
    </row>
    <row r="915" spans="2:16" hidden="1">
      <c r="B915" s="79"/>
      <c r="C915" s="79"/>
      <c r="D915" s="81" t="s">
        <v>119</v>
      </c>
      <c r="E915" s="87">
        <v>2007</v>
      </c>
      <c r="F915" s="88">
        <v>965.4052999999999</v>
      </c>
      <c r="G915" s="88">
        <v>7808.6984000000166</v>
      </c>
      <c r="H915" s="88">
        <v>3033.5900000000015</v>
      </c>
      <c r="I915" s="88">
        <v>6468.1151000000009</v>
      </c>
      <c r="J915" s="88">
        <v>2544.510499999998</v>
      </c>
      <c r="K915" s="88">
        <v>1069.7604999999999</v>
      </c>
      <c r="L915" s="88">
        <v>0</v>
      </c>
      <c r="M915" s="88">
        <v>78.113900000000015</v>
      </c>
      <c r="N915" s="88">
        <v>125.5729</v>
      </c>
      <c r="O915" s="88">
        <v>1.7690000000000001</v>
      </c>
      <c r="P915" s="88">
        <v>22095.535600000017</v>
      </c>
    </row>
    <row r="916" spans="2:16" hidden="1">
      <c r="B916" s="79"/>
      <c r="C916" s="79"/>
      <c r="D916" s="81" t="s">
        <v>119</v>
      </c>
      <c r="E916" s="87">
        <v>2008</v>
      </c>
      <c r="F916" s="88">
        <v>1089.5715999999998</v>
      </c>
      <c r="G916" s="88">
        <v>7894.7091000000282</v>
      </c>
      <c r="H916" s="88">
        <v>3344.9911999999981</v>
      </c>
      <c r="I916" s="88">
        <v>6275.0706000000027</v>
      </c>
      <c r="J916" s="88">
        <v>2761.4672999999952</v>
      </c>
      <c r="K916" s="88">
        <v>1055.4184999999989</v>
      </c>
      <c r="L916" s="88">
        <v>0</v>
      </c>
      <c r="M916" s="88">
        <v>61.882900000000006</v>
      </c>
      <c r="N916" s="88">
        <v>86.497499999999988</v>
      </c>
      <c r="O916" s="88">
        <v>7.9994000000000005</v>
      </c>
      <c r="P916" s="88">
        <v>22577.608100000049</v>
      </c>
    </row>
    <row r="917" spans="2:16" hidden="1">
      <c r="B917" s="79"/>
      <c r="C917" s="79"/>
      <c r="D917" s="81" t="s">
        <v>119</v>
      </c>
      <c r="E917" s="87">
        <v>2009</v>
      </c>
      <c r="F917" s="88">
        <v>904.96329999999989</v>
      </c>
      <c r="G917" s="88">
        <v>8063.0139000000026</v>
      </c>
      <c r="H917" s="88">
        <v>4727.7095999999947</v>
      </c>
      <c r="I917" s="88">
        <v>6880.2421999999988</v>
      </c>
      <c r="J917" s="88">
        <v>3136.3482000000004</v>
      </c>
      <c r="K917" s="88">
        <v>1230.5030000000002</v>
      </c>
      <c r="L917" s="88">
        <v>25.978400000000001</v>
      </c>
      <c r="M917" s="88">
        <v>59.810100000000013</v>
      </c>
      <c r="N917" s="88">
        <v>93.00569999999999</v>
      </c>
      <c r="O917" s="88">
        <v>11.4016</v>
      </c>
      <c r="P917" s="88">
        <v>25132.97600000005</v>
      </c>
    </row>
    <row r="918" spans="2:16" hidden="1">
      <c r="B918" s="79"/>
      <c r="C918" s="79"/>
      <c r="D918" s="81" t="s">
        <v>119</v>
      </c>
      <c r="E918" s="87">
        <v>2010</v>
      </c>
      <c r="F918" s="88">
        <v>927.77579999999864</v>
      </c>
      <c r="G918" s="88">
        <v>7233.8326000000116</v>
      </c>
      <c r="H918" s="88">
        <v>4867.8431000000028</v>
      </c>
      <c r="I918" s="88">
        <v>7612.156099999992</v>
      </c>
      <c r="J918" s="88">
        <v>3122.3174999999974</v>
      </c>
      <c r="K918" s="88">
        <v>1816.255800000001</v>
      </c>
      <c r="L918" s="88">
        <v>49.687200000000004</v>
      </c>
      <c r="M918" s="88">
        <v>68.968000000000004</v>
      </c>
      <c r="N918" s="88">
        <v>110.43989999999998</v>
      </c>
      <c r="O918" s="88">
        <v>28.5</v>
      </c>
      <c r="P918" s="88">
        <v>25837.77600000002</v>
      </c>
    </row>
    <row r="919" spans="2:16" hidden="1">
      <c r="B919" s="79"/>
      <c r="C919" s="79"/>
      <c r="D919" s="81" t="s">
        <v>119</v>
      </c>
      <c r="E919" s="87">
        <v>2011</v>
      </c>
      <c r="F919" s="88">
        <v>1106.1062999999961</v>
      </c>
      <c r="G919" s="88">
        <v>6813.7874999999985</v>
      </c>
      <c r="H919" s="88">
        <v>4497.2044999999998</v>
      </c>
      <c r="I919" s="88">
        <v>7477.5583999999935</v>
      </c>
      <c r="J919" s="88">
        <v>2158.3062000000004</v>
      </c>
      <c r="K919" s="88">
        <v>2372.9035999999965</v>
      </c>
      <c r="L919" s="88">
        <v>34.153999999999996</v>
      </c>
      <c r="M919" s="88">
        <v>59.975300000000004</v>
      </c>
      <c r="N919" s="88">
        <v>108.19119999999998</v>
      </c>
      <c r="O919" s="88">
        <v>41.17</v>
      </c>
      <c r="P919" s="88">
        <v>24669.357000000044</v>
      </c>
    </row>
    <row r="920" spans="2:16" hidden="1">
      <c r="B920" s="89"/>
      <c r="C920" s="89"/>
      <c r="D920" s="81" t="s">
        <v>119</v>
      </c>
      <c r="E920" s="82">
        <v>2012</v>
      </c>
      <c r="F920" s="83">
        <v>1378.8250999999977</v>
      </c>
      <c r="G920" s="83">
        <v>6693.0487999999968</v>
      </c>
      <c r="H920" s="83">
        <v>4407.8475000000062</v>
      </c>
      <c r="I920" s="83">
        <v>7794.2162999999973</v>
      </c>
      <c r="J920" s="83">
        <v>1765.0411999999999</v>
      </c>
      <c r="K920" s="83">
        <v>2400.4256999999993</v>
      </c>
      <c r="L920" s="83">
        <v>33.095999999999997</v>
      </c>
      <c r="M920" s="83">
        <v>65.663499999999999</v>
      </c>
      <c r="N920" s="83">
        <v>153.2577</v>
      </c>
      <c r="O920" s="83">
        <v>41.9998</v>
      </c>
      <c r="P920" s="83">
        <v>24733.421600000009</v>
      </c>
    </row>
    <row r="921" spans="2:16" hidden="1">
      <c r="B921" s="79" t="s">
        <v>209</v>
      </c>
      <c r="C921" s="76" t="s">
        <v>119</v>
      </c>
      <c r="D921" s="77" t="s">
        <v>179</v>
      </c>
      <c r="E921" s="87">
        <v>2005</v>
      </c>
      <c r="F921" s="86">
        <v>7943.541799999979</v>
      </c>
      <c r="G921" s="86">
        <v>19145.885399999999</v>
      </c>
      <c r="H921" s="86">
        <v>18141.181899999956</v>
      </c>
      <c r="I921" s="86">
        <v>27001.37749999997</v>
      </c>
      <c r="J921" s="86">
        <v>22361.282499999921</v>
      </c>
      <c r="K921" s="86">
        <v>87130.238600000273</v>
      </c>
      <c r="L921" s="86">
        <v>5310.9240999999965</v>
      </c>
      <c r="M921" s="86">
        <v>11117.290799999986</v>
      </c>
      <c r="N921" s="86">
        <v>6231.7518999999975</v>
      </c>
      <c r="O921" s="86">
        <v>3405.4727000000003</v>
      </c>
      <c r="P921" s="86">
        <v>207788.94720000061</v>
      </c>
    </row>
    <row r="922" spans="2:16" hidden="1">
      <c r="B922" s="79"/>
      <c r="C922" s="79"/>
      <c r="D922" s="81" t="s">
        <v>180</v>
      </c>
      <c r="E922" s="87">
        <v>2006</v>
      </c>
      <c r="F922" s="88">
        <v>4228.3722999999954</v>
      </c>
      <c r="G922" s="88">
        <v>18959.224200000157</v>
      </c>
      <c r="H922" s="88">
        <v>16908.815799999946</v>
      </c>
      <c r="I922" s="88">
        <v>24536.293899999931</v>
      </c>
      <c r="J922" s="88">
        <v>21363.908699999967</v>
      </c>
      <c r="K922" s="88">
        <v>87039.604999999647</v>
      </c>
      <c r="L922" s="88">
        <v>4969.8947999999955</v>
      </c>
      <c r="M922" s="88">
        <v>11573.845800000001</v>
      </c>
      <c r="N922" s="88">
        <v>5742.1387999999997</v>
      </c>
      <c r="O922" s="88">
        <v>3518.0989000000004</v>
      </c>
      <c r="P922" s="88">
        <v>198840.19819999987</v>
      </c>
    </row>
    <row r="923" spans="2:16" hidden="1">
      <c r="B923" s="79"/>
      <c r="C923" s="79"/>
      <c r="D923" s="81" t="s">
        <v>180</v>
      </c>
      <c r="E923" s="87">
        <v>2007</v>
      </c>
      <c r="F923" s="88">
        <v>3506.7956000000013</v>
      </c>
      <c r="G923" s="88">
        <v>19908.939499999968</v>
      </c>
      <c r="H923" s="88">
        <v>16922.772799999977</v>
      </c>
      <c r="I923" s="88">
        <v>23676.350499999971</v>
      </c>
      <c r="J923" s="88">
        <v>21342.794599999925</v>
      </c>
      <c r="K923" s="88">
        <v>90161.449199999624</v>
      </c>
      <c r="L923" s="88">
        <v>5107.5134999999973</v>
      </c>
      <c r="M923" s="88">
        <v>11985.16270000001</v>
      </c>
      <c r="N923" s="88">
        <v>5586.4874999999984</v>
      </c>
      <c r="O923" s="88">
        <v>3759.9819999999986</v>
      </c>
      <c r="P923" s="88">
        <v>201958.24790000147</v>
      </c>
    </row>
    <row r="924" spans="2:16" hidden="1">
      <c r="B924" s="79"/>
      <c r="C924" s="79"/>
      <c r="D924" s="81" t="s">
        <v>180</v>
      </c>
      <c r="E924" s="87">
        <v>2008</v>
      </c>
      <c r="F924" s="88">
        <v>2345.142099999995</v>
      </c>
      <c r="G924" s="88">
        <v>18677.985099999969</v>
      </c>
      <c r="H924" s="88">
        <v>16900.839399999986</v>
      </c>
      <c r="I924" s="88">
        <v>22950.757799999934</v>
      </c>
      <c r="J924" s="88">
        <v>20503.709399999927</v>
      </c>
      <c r="K924" s="88">
        <v>92048.497099999702</v>
      </c>
      <c r="L924" s="88">
        <v>4879.6295000000009</v>
      </c>
      <c r="M924" s="88">
        <v>12331.298000000008</v>
      </c>
      <c r="N924" s="88">
        <v>5520.5542999999971</v>
      </c>
      <c r="O924" s="88">
        <v>3759.4263999999998</v>
      </c>
      <c r="P924" s="88">
        <v>199917.83910000109</v>
      </c>
    </row>
    <row r="925" spans="2:16" hidden="1">
      <c r="B925" s="79"/>
      <c r="C925" s="79"/>
      <c r="D925" s="81" t="s">
        <v>180</v>
      </c>
      <c r="E925" s="87">
        <v>2009</v>
      </c>
      <c r="F925" s="88">
        <v>2137.8084999999974</v>
      </c>
      <c r="G925" s="88">
        <v>18786.858299999993</v>
      </c>
      <c r="H925" s="88">
        <v>19030.399299999965</v>
      </c>
      <c r="I925" s="88">
        <v>24795.216299999967</v>
      </c>
      <c r="J925" s="88">
        <v>21660.706699999922</v>
      </c>
      <c r="K925" s="88">
        <v>97384.762299999551</v>
      </c>
      <c r="L925" s="88">
        <v>5677.2680000000018</v>
      </c>
      <c r="M925" s="88">
        <v>14501.65400000002</v>
      </c>
      <c r="N925" s="88">
        <v>5898.4333999999981</v>
      </c>
      <c r="O925" s="88">
        <v>3951.5678000000003</v>
      </c>
      <c r="P925" s="88">
        <v>213824.67460000061</v>
      </c>
    </row>
    <row r="926" spans="2:16" hidden="1">
      <c r="B926" s="79"/>
      <c r="C926" s="79"/>
      <c r="D926" s="81" t="s">
        <v>180</v>
      </c>
      <c r="E926" s="87">
        <v>2010</v>
      </c>
      <c r="F926" s="88">
        <v>2315.2989999999995</v>
      </c>
      <c r="G926" s="88">
        <v>17219.151799999992</v>
      </c>
      <c r="H926" s="88">
        <v>19359.587100000012</v>
      </c>
      <c r="I926" s="88">
        <v>24348.084699999978</v>
      </c>
      <c r="J926" s="88">
        <v>21927.451999999907</v>
      </c>
      <c r="K926" s="88">
        <v>101924.00540000029</v>
      </c>
      <c r="L926" s="88">
        <v>5805.4048000000039</v>
      </c>
      <c r="M926" s="88">
        <v>15399.572200000019</v>
      </c>
      <c r="N926" s="88">
        <v>6258.821299999996</v>
      </c>
      <c r="O926" s="88">
        <v>3923.8237999999956</v>
      </c>
      <c r="P926" s="88">
        <v>218481.20210000066</v>
      </c>
    </row>
    <row r="927" spans="2:16" hidden="1">
      <c r="B927" s="79"/>
      <c r="C927" s="79"/>
      <c r="D927" s="81" t="s">
        <v>180</v>
      </c>
      <c r="E927" s="87">
        <v>2011</v>
      </c>
      <c r="F927" s="88">
        <v>2467.651999999995</v>
      </c>
      <c r="G927" s="88">
        <v>16503.186299999998</v>
      </c>
      <c r="H927" s="88">
        <v>17374.335300000006</v>
      </c>
      <c r="I927" s="88">
        <v>22594.22819999998</v>
      </c>
      <c r="J927" s="88">
        <v>19539.42569999992</v>
      </c>
      <c r="K927" s="88">
        <v>102605.33320000021</v>
      </c>
      <c r="L927" s="88">
        <v>5088.8105000000041</v>
      </c>
      <c r="M927" s="88">
        <v>14678.659300000008</v>
      </c>
      <c r="N927" s="88">
        <v>6396.3627999999962</v>
      </c>
      <c r="O927" s="88">
        <v>3869.7153000000012</v>
      </c>
      <c r="P927" s="88">
        <v>211117.70860000129</v>
      </c>
    </row>
    <row r="928" spans="2:16" hidden="1">
      <c r="B928" s="79"/>
      <c r="C928" s="79"/>
      <c r="D928" s="81" t="s">
        <v>180</v>
      </c>
      <c r="E928" s="82">
        <v>2012</v>
      </c>
      <c r="F928" s="83">
        <v>2893.6754999999994</v>
      </c>
      <c r="G928" s="83">
        <v>16043.825600000006</v>
      </c>
      <c r="H928" s="83">
        <v>18177.232900000006</v>
      </c>
      <c r="I928" s="83">
        <v>23616.469599999975</v>
      </c>
      <c r="J928" s="83">
        <v>18212.139599999933</v>
      </c>
      <c r="K928" s="83">
        <v>104770.19609999986</v>
      </c>
      <c r="L928" s="83">
        <v>4905.6963000000051</v>
      </c>
      <c r="M928" s="83">
        <v>14517.361300000022</v>
      </c>
      <c r="N928" s="83">
        <v>6478.617699999998</v>
      </c>
      <c r="O928" s="83">
        <v>3780.4247000000005</v>
      </c>
      <c r="P928" s="83">
        <v>213395.63930000097</v>
      </c>
    </row>
    <row r="929" spans="2:16" hidden="1">
      <c r="B929" s="79"/>
      <c r="C929" s="79"/>
      <c r="D929" s="77" t="s">
        <v>180</v>
      </c>
      <c r="E929" s="87">
        <v>2005</v>
      </c>
      <c r="F929" s="88">
        <v>37.403099999999988</v>
      </c>
      <c r="G929" s="88">
        <v>300.31410000000011</v>
      </c>
      <c r="H929" s="88">
        <v>970.7302000000002</v>
      </c>
      <c r="I929" s="88">
        <v>1303.8649</v>
      </c>
      <c r="J929" s="88">
        <v>5422.4327999999678</v>
      </c>
      <c r="K929" s="88">
        <v>19982.484700000139</v>
      </c>
      <c r="L929" s="88">
        <v>667.82079999999985</v>
      </c>
      <c r="M929" s="88">
        <v>1493.590199999999</v>
      </c>
      <c r="N929" s="88">
        <v>1200.7228000000002</v>
      </c>
      <c r="O929" s="88">
        <v>610.5797</v>
      </c>
      <c r="P929" s="88">
        <v>31989.943300000446</v>
      </c>
    </row>
    <row r="930" spans="2:16" hidden="1">
      <c r="B930" s="79"/>
      <c r="C930" s="79"/>
      <c r="D930" s="81" t="s">
        <v>179</v>
      </c>
      <c r="E930" s="87">
        <v>2006</v>
      </c>
      <c r="F930" s="88">
        <v>22.486499999999999</v>
      </c>
      <c r="G930" s="88">
        <v>270.80310000000009</v>
      </c>
      <c r="H930" s="88">
        <v>726.63729999999998</v>
      </c>
      <c r="I930" s="88">
        <v>1248.7265999999997</v>
      </c>
      <c r="J930" s="88">
        <v>3588.0594999999976</v>
      </c>
      <c r="K930" s="88">
        <v>17433.80920000004</v>
      </c>
      <c r="L930" s="88">
        <v>583.16239999999982</v>
      </c>
      <c r="M930" s="88">
        <v>1458.2290000000003</v>
      </c>
      <c r="N930" s="88">
        <v>1040.1704000000002</v>
      </c>
      <c r="O930" s="88">
        <v>887.45219999999938</v>
      </c>
      <c r="P930" s="88">
        <v>27259.53620000009</v>
      </c>
    </row>
    <row r="931" spans="2:16" hidden="1">
      <c r="B931" s="79"/>
      <c r="C931" s="79"/>
      <c r="D931" s="81" t="s">
        <v>179</v>
      </c>
      <c r="E931" s="87">
        <v>2007</v>
      </c>
      <c r="F931" s="88">
        <v>44.688399999999994</v>
      </c>
      <c r="G931" s="88">
        <v>165.66279999999998</v>
      </c>
      <c r="H931" s="88">
        <v>802.94699999999966</v>
      </c>
      <c r="I931" s="88">
        <v>1424.9438000000002</v>
      </c>
      <c r="J931" s="88">
        <v>2571.6967999999997</v>
      </c>
      <c r="K931" s="88">
        <v>14073.706500000017</v>
      </c>
      <c r="L931" s="88">
        <v>651.16079999999977</v>
      </c>
      <c r="M931" s="88">
        <v>1565.4328000000003</v>
      </c>
      <c r="N931" s="88">
        <v>1047.7294000000002</v>
      </c>
      <c r="O931" s="88">
        <v>1290.9508999999996</v>
      </c>
      <c r="P931" s="88">
        <v>23638.9192</v>
      </c>
    </row>
    <row r="932" spans="2:16" hidden="1">
      <c r="B932" s="79"/>
      <c r="C932" s="79"/>
      <c r="D932" s="81" t="s">
        <v>179</v>
      </c>
      <c r="E932" s="87">
        <v>2008</v>
      </c>
      <c r="F932" s="88">
        <v>85.878900000000002</v>
      </c>
      <c r="G932" s="88">
        <v>153.13849999999994</v>
      </c>
      <c r="H932" s="88">
        <v>1065.7324999999996</v>
      </c>
      <c r="I932" s="88">
        <v>1488.4322</v>
      </c>
      <c r="J932" s="88">
        <v>2498.2212999999988</v>
      </c>
      <c r="K932" s="88">
        <v>11611.00470000004</v>
      </c>
      <c r="L932" s="88">
        <v>885.10039999999992</v>
      </c>
      <c r="M932" s="88">
        <v>1530.9779000000001</v>
      </c>
      <c r="N932" s="88">
        <v>1156.5216000000005</v>
      </c>
      <c r="O932" s="88">
        <v>1667.6356999999998</v>
      </c>
      <c r="P932" s="88">
        <v>22142.643700000037</v>
      </c>
    </row>
    <row r="933" spans="2:16" hidden="1">
      <c r="B933" s="79"/>
      <c r="C933" s="79"/>
      <c r="D933" s="81" t="s">
        <v>179</v>
      </c>
      <c r="E933" s="87">
        <v>2009</v>
      </c>
      <c r="F933" s="88">
        <v>71.611900000000006</v>
      </c>
      <c r="G933" s="88">
        <v>126.4316</v>
      </c>
      <c r="H933" s="88">
        <v>1033.2170999999998</v>
      </c>
      <c r="I933" s="88">
        <v>1999.2562999999991</v>
      </c>
      <c r="J933" s="88">
        <v>3056.2244999999984</v>
      </c>
      <c r="K933" s="88">
        <v>11293.44510000001</v>
      </c>
      <c r="L933" s="88">
        <v>1034.2961000000005</v>
      </c>
      <c r="M933" s="88">
        <v>1768.6636999999996</v>
      </c>
      <c r="N933" s="88">
        <v>1218.0355000000002</v>
      </c>
      <c r="O933" s="88">
        <v>2044.1321000000009</v>
      </c>
      <c r="P933" s="88">
        <v>23645.313900000059</v>
      </c>
    </row>
    <row r="934" spans="2:16" hidden="1">
      <c r="B934" s="79"/>
      <c r="C934" s="79"/>
      <c r="D934" s="81" t="s">
        <v>179</v>
      </c>
      <c r="E934" s="87">
        <v>2010</v>
      </c>
      <c r="F934" s="88">
        <v>80.208099999999988</v>
      </c>
      <c r="G934" s="88">
        <v>90.213299999999975</v>
      </c>
      <c r="H934" s="88">
        <v>1024.7637</v>
      </c>
      <c r="I934" s="88">
        <v>1956.8319000000008</v>
      </c>
      <c r="J934" s="88">
        <v>3143.3045999999977</v>
      </c>
      <c r="K934" s="88">
        <v>11786.829400000004</v>
      </c>
      <c r="L934" s="88">
        <v>1068.8043000000005</v>
      </c>
      <c r="M934" s="88">
        <v>1923.1918999999996</v>
      </c>
      <c r="N934" s="88">
        <v>1319.6838</v>
      </c>
      <c r="O934" s="88">
        <v>2311.2462999999998</v>
      </c>
      <c r="P934" s="88">
        <v>24705.077300000001</v>
      </c>
    </row>
    <row r="935" spans="2:16" hidden="1">
      <c r="B935" s="79"/>
      <c r="C935" s="79"/>
      <c r="D935" s="81" t="s">
        <v>179</v>
      </c>
      <c r="E935" s="87">
        <v>2011</v>
      </c>
      <c r="F935" s="88">
        <v>145.29680000000005</v>
      </c>
      <c r="G935" s="88">
        <v>125.72620000000001</v>
      </c>
      <c r="H935" s="88">
        <v>1045.5075999999997</v>
      </c>
      <c r="I935" s="88">
        <v>1804.6277000000005</v>
      </c>
      <c r="J935" s="88">
        <v>3022.9164999999989</v>
      </c>
      <c r="K935" s="88">
        <v>12257.848900000019</v>
      </c>
      <c r="L935" s="88">
        <v>1067.3810000000003</v>
      </c>
      <c r="M935" s="88">
        <v>1906.057600000001</v>
      </c>
      <c r="N935" s="88">
        <v>1270.4973000000002</v>
      </c>
      <c r="O935" s="88">
        <v>2600.3013000000001</v>
      </c>
      <c r="P935" s="88">
        <v>25246.160900000021</v>
      </c>
    </row>
    <row r="936" spans="2:16" hidden="1">
      <c r="B936" s="79"/>
      <c r="C936" s="79"/>
      <c r="D936" s="81" t="s">
        <v>179</v>
      </c>
      <c r="E936" s="82">
        <v>2012</v>
      </c>
      <c r="F936" s="83">
        <v>135.82490000000001</v>
      </c>
      <c r="G936" s="83">
        <v>116.68449999999999</v>
      </c>
      <c r="H936" s="83">
        <v>923.09660000000008</v>
      </c>
      <c r="I936" s="83">
        <v>1828.7451000000008</v>
      </c>
      <c r="J936" s="83">
        <v>2979.1185999999975</v>
      </c>
      <c r="K936" s="83">
        <v>12618.070700000011</v>
      </c>
      <c r="L936" s="83">
        <v>1131.5027000000005</v>
      </c>
      <c r="M936" s="83">
        <v>1827.0002000000002</v>
      </c>
      <c r="N936" s="83">
        <v>1593.0509000000004</v>
      </c>
      <c r="O936" s="83">
        <v>2776.8478000000032</v>
      </c>
      <c r="P936" s="83">
        <v>25929.942000000021</v>
      </c>
    </row>
    <row r="937" spans="2:16" hidden="1">
      <c r="B937" s="79"/>
      <c r="C937" s="79"/>
      <c r="D937" s="77" t="s">
        <v>119</v>
      </c>
      <c r="E937" s="87">
        <v>2005</v>
      </c>
      <c r="F937" s="88">
        <v>7980.9448999999786</v>
      </c>
      <c r="G937" s="88">
        <v>19446.199499999999</v>
      </c>
      <c r="H937" s="88">
        <v>19111.912099999958</v>
      </c>
      <c r="I937" s="88">
        <v>28305.24239999997</v>
      </c>
      <c r="J937" s="88">
        <v>27783.715299999887</v>
      </c>
      <c r="K937" s="88">
        <v>107112.72330000042</v>
      </c>
      <c r="L937" s="88">
        <v>5978.7448999999961</v>
      </c>
      <c r="M937" s="88">
        <v>12610.880999999985</v>
      </c>
      <c r="N937" s="88">
        <v>7432.4746999999979</v>
      </c>
      <c r="O937" s="88">
        <v>4016.0524000000005</v>
      </c>
      <c r="P937" s="88">
        <v>239778.89050000106</v>
      </c>
    </row>
    <row r="938" spans="2:16" hidden="1">
      <c r="B938" s="79"/>
      <c r="C938" s="79"/>
      <c r="D938" s="81" t="s">
        <v>119</v>
      </c>
      <c r="E938" s="87">
        <v>2006</v>
      </c>
      <c r="F938" s="88">
        <v>4250.8587999999954</v>
      </c>
      <c r="G938" s="88">
        <v>19230.027300000158</v>
      </c>
      <c r="H938" s="88">
        <v>17635.453099999944</v>
      </c>
      <c r="I938" s="88">
        <v>25785.02049999993</v>
      </c>
      <c r="J938" s="88">
        <v>24951.968199999967</v>
      </c>
      <c r="K938" s="88">
        <v>104473.41419999968</v>
      </c>
      <c r="L938" s="88">
        <v>5553.0571999999956</v>
      </c>
      <c r="M938" s="88">
        <v>13032.074800000002</v>
      </c>
      <c r="N938" s="88">
        <v>6782.3091999999997</v>
      </c>
      <c r="O938" s="88">
        <v>4405.5510999999997</v>
      </c>
      <c r="P938" s="88">
        <v>226099.73439999996</v>
      </c>
    </row>
    <row r="939" spans="2:16" hidden="1">
      <c r="B939" s="79"/>
      <c r="C939" s="79"/>
      <c r="D939" s="81" t="s">
        <v>119</v>
      </c>
      <c r="E939" s="87">
        <v>2007</v>
      </c>
      <c r="F939" s="88">
        <v>3551.4840000000013</v>
      </c>
      <c r="G939" s="88">
        <v>20074.602299999966</v>
      </c>
      <c r="H939" s="88">
        <v>17725.719799999977</v>
      </c>
      <c r="I939" s="88">
        <v>25101.294299999972</v>
      </c>
      <c r="J939" s="88">
        <v>23914.491399999926</v>
      </c>
      <c r="K939" s="88">
        <v>104235.15569999964</v>
      </c>
      <c r="L939" s="88">
        <v>5758.6742999999969</v>
      </c>
      <c r="M939" s="88">
        <v>13550.59550000001</v>
      </c>
      <c r="N939" s="88">
        <v>6634.2168999999985</v>
      </c>
      <c r="O939" s="88">
        <v>5050.932899999998</v>
      </c>
      <c r="P939" s="88">
        <v>225597.16710000148</v>
      </c>
    </row>
    <row r="940" spans="2:16" hidden="1">
      <c r="B940" s="79"/>
      <c r="C940" s="79"/>
      <c r="D940" s="81" t="s">
        <v>119</v>
      </c>
      <c r="E940" s="87">
        <v>2008</v>
      </c>
      <c r="F940" s="88">
        <v>2431.0209999999952</v>
      </c>
      <c r="G940" s="88">
        <v>18831.12359999997</v>
      </c>
      <c r="H940" s="88">
        <v>17966.571899999984</v>
      </c>
      <c r="I940" s="88">
        <v>24439.189999999933</v>
      </c>
      <c r="J940" s="88">
        <v>23001.930699999924</v>
      </c>
      <c r="K940" s="88">
        <v>103659.50179999974</v>
      </c>
      <c r="L940" s="88">
        <v>5764.7299000000012</v>
      </c>
      <c r="M940" s="88">
        <v>13862.275900000008</v>
      </c>
      <c r="N940" s="88">
        <v>6677.075899999998</v>
      </c>
      <c r="O940" s="88">
        <v>5427.0620999999992</v>
      </c>
      <c r="P940" s="88">
        <v>222060.48280000113</v>
      </c>
    </row>
    <row r="941" spans="2:16" hidden="1">
      <c r="B941" s="79"/>
      <c r="C941" s="79"/>
      <c r="D941" s="81" t="s">
        <v>119</v>
      </c>
      <c r="E941" s="87">
        <v>2009</v>
      </c>
      <c r="F941" s="88">
        <v>2209.4203999999972</v>
      </c>
      <c r="G941" s="88">
        <v>18913.289899999992</v>
      </c>
      <c r="H941" s="88">
        <v>20063.616399999963</v>
      </c>
      <c r="I941" s="88">
        <v>26794.472599999965</v>
      </c>
      <c r="J941" s="88">
        <v>24716.931199999919</v>
      </c>
      <c r="K941" s="88">
        <v>108678.20739999956</v>
      </c>
      <c r="L941" s="88">
        <v>6711.5641000000023</v>
      </c>
      <c r="M941" s="88">
        <v>16270.31770000002</v>
      </c>
      <c r="N941" s="88">
        <v>7116.468899999998</v>
      </c>
      <c r="O941" s="88">
        <v>5995.6999000000014</v>
      </c>
      <c r="P941" s="88">
        <v>237469.98850000068</v>
      </c>
    </row>
    <row r="942" spans="2:16" hidden="1">
      <c r="B942" s="79"/>
      <c r="C942" s="79"/>
      <c r="D942" s="81" t="s">
        <v>119</v>
      </c>
      <c r="E942" s="87">
        <v>2010</v>
      </c>
      <c r="F942" s="88">
        <v>2395.5070999999994</v>
      </c>
      <c r="G942" s="88">
        <v>17309.365099999992</v>
      </c>
      <c r="H942" s="88">
        <v>20384.350800000011</v>
      </c>
      <c r="I942" s="88">
        <v>26304.916599999979</v>
      </c>
      <c r="J942" s="88">
        <v>25070.756599999906</v>
      </c>
      <c r="K942" s="88">
        <v>113710.83480000029</v>
      </c>
      <c r="L942" s="88">
        <v>6874.2091000000046</v>
      </c>
      <c r="M942" s="88">
        <v>17322.764100000019</v>
      </c>
      <c r="N942" s="88">
        <v>7578.5050999999958</v>
      </c>
      <c r="O942" s="88">
        <v>6235.0700999999954</v>
      </c>
      <c r="P942" s="88">
        <v>243186.27940000067</v>
      </c>
    </row>
    <row r="943" spans="2:16" hidden="1">
      <c r="B943" s="79"/>
      <c r="C943" s="79"/>
      <c r="D943" s="81" t="s">
        <v>119</v>
      </c>
      <c r="E943" s="87">
        <v>2011</v>
      </c>
      <c r="F943" s="88">
        <v>2612.9487999999951</v>
      </c>
      <c r="G943" s="88">
        <v>16628.912499999999</v>
      </c>
      <c r="H943" s="88">
        <v>18419.842900000007</v>
      </c>
      <c r="I943" s="88">
        <v>24398.85589999998</v>
      </c>
      <c r="J943" s="88">
        <v>22562.342199999919</v>
      </c>
      <c r="K943" s="88">
        <v>114863.18210000024</v>
      </c>
      <c r="L943" s="88">
        <v>6156.1915000000045</v>
      </c>
      <c r="M943" s="88">
        <v>16584.71690000001</v>
      </c>
      <c r="N943" s="88">
        <v>7666.8600999999962</v>
      </c>
      <c r="O943" s="88">
        <v>6470.0166000000008</v>
      </c>
      <c r="P943" s="88">
        <v>236363.86950000131</v>
      </c>
    </row>
    <row r="944" spans="2:16" hidden="1">
      <c r="B944" s="79"/>
      <c r="C944" s="89"/>
      <c r="D944" s="81" t="s">
        <v>119</v>
      </c>
      <c r="E944" s="82">
        <v>2012</v>
      </c>
      <c r="F944" s="83">
        <v>3029.5003999999994</v>
      </c>
      <c r="G944" s="83">
        <v>16160.510100000005</v>
      </c>
      <c r="H944" s="83">
        <v>19100.329500000007</v>
      </c>
      <c r="I944" s="83">
        <v>25445.214699999975</v>
      </c>
      <c r="J944" s="83">
        <v>21191.258199999931</v>
      </c>
      <c r="K944" s="83">
        <v>117388.26679999987</v>
      </c>
      <c r="L944" s="83">
        <v>6037.199000000006</v>
      </c>
      <c r="M944" s="83">
        <v>16344.361500000023</v>
      </c>
      <c r="N944" s="83">
        <v>8071.6685999999982</v>
      </c>
      <c r="O944" s="83">
        <v>6557.2725000000037</v>
      </c>
      <c r="P944" s="83">
        <v>239325.58130000098</v>
      </c>
    </row>
    <row r="945" spans="2:16" hidden="1">
      <c r="B945" s="79" t="s">
        <v>210</v>
      </c>
      <c r="C945" s="76" t="s">
        <v>119</v>
      </c>
      <c r="D945" s="77" t="s">
        <v>179</v>
      </c>
      <c r="E945" s="87">
        <v>2005</v>
      </c>
      <c r="F945" s="86">
        <v>972.43639999999971</v>
      </c>
      <c r="G945" s="86">
        <v>4476.5532000000012</v>
      </c>
      <c r="H945" s="86">
        <v>13445.776399999986</v>
      </c>
      <c r="I945" s="86">
        <v>6278.1374000000005</v>
      </c>
      <c r="J945" s="86">
        <v>9020.8692000000028</v>
      </c>
      <c r="K945" s="86">
        <v>896.30560000000003</v>
      </c>
      <c r="L945" s="86">
        <v>248.30729999999977</v>
      </c>
      <c r="M945" s="86">
        <v>199.05919999999992</v>
      </c>
      <c r="N945" s="86">
        <v>110.60260000000001</v>
      </c>
      <c r="O945" s="86">
        <v>0</v>
      </c>
      <c r="P945" s="86">
        <v>35648.047299999933</v>
      </c>
    </row>
    <row r="946" spans="2:16" hidden="1">
      <c r="B946" s="79"/>
      <c r="C946" s="79"/>
      <c r="D946" s="81" t="s">
        <v>180</v>
      </c>
      <c r="E946" s="87">
        <v>2006</v>
      </c>
      <c r="F946" s="88">
        <v>1125.9389999999999</v>
      </c>
      <c r="G946" s="88">
        <v>5082.4069000000018</v>
      </c>
      <c r="H946" s="88">
        <v>13407.726199999999</v>
      </c>
      <c r="I946" s="88">
        <v>6789.4477000000024</v>
      </c>
      <c r="J946" s="88">
        <v>9388.4088000000102</v>
      </c>
      <c r="K946" s="88">
        <v>953.65089999999998</v>
      </c>
      <c r="L946" s="88">
        <v>320.09409999999986</v>
      </c>
      <c r="M946" s="88">
        <v>182.26589999999987</v>
      </c>
      <c r="N946" s="88">
        <v>122.85110000000002</v>
      </c>
      <c r="O946" s="88">
        <v>0</v>
      </c>
      <c r="P946" s="88">
        <v>37372.790600000044</v>
      </c>
    </row>
    <row r="947" spans="2:16" hidden="1">
      <c r="B947" s="79"/>
      <c r="C947" s="79"/>
      <c r="D947" s="81" t="s">
        <v>180</v>
      </c>
      <c r="E947" s="87">
        <v>2007</v>
      </c>
      <c r="F947" s="88">
        <v>779.78210000000013</v>
      </c>
      <c r="G947" s="88">
        <v>3536.7637999999997</v>
      </c>
      <c r="H947" s="88">
        <v>12976.676600000015</v>
      </c>
      <c r="I947" s="88">
        <v>7494.7409000000016</v>
      </c>
      <c r="J947" s="88">
        <v>9778.1224000000075</v>
      </c>
      <c r="K947" s="88">
        <v>1150.4560999999999</v>
      </c>
      <c r="L947" s="88">
        <v>323.39779999999985</v>
      </c>
      <c r="M947" s="88">
        <v>207.95999999999984</v>
      </c>
      <c r="N947" s="88">
        <v>154.35860000000002</v>
      </c>
      <c r="O947" s="88">
        <v>0</v>
      </c>
      <c r="P947" s="88">
        <v>36402.258300000023</v>
      </c>
    </row>
    <row r="948" spans="2:16" hidden="1">
      <c r="B948" s="79"/>
      <c r="C948" s="79"/>
      <c r="D948" s="81" t="s">
        <v>180</v>
      </c>
      <c r="E948" s="87">
        <v>2008</v>
      </c>
      <c r="F948" s="88">
        <v>671.68799999999987</v>
      </c>
      <c r="G948" s="88">
        <v>3157.1552999999994</v>
      </c>
      <c r="H948" s="88">
        <v>13050.164900000002</v>
      </c>
      <c r="I948" s="88">
        <v>6935.2961999999961</v>
      </c>
      <c r="J948" s="88">
        <v>10370.068000000007</v>
      </c>
      <c r="K948" s="88">
        <v>1317.7347</v>
      </c>
      <c r="L948" s="88">
        <v>332.84449999999987</v>
      </c>
      <c r="M948" s="88">
        <v>185.00629999999998</v>
      </c>
      <c r="N948" s="88">
        <v>137.54010000000002</v>
      </c>
      <c r="O948" s="88">
        <v>0</v>
      </c>
      <c r="P948" s="88">
        <v>36157.498000000036</v>
      </c>
    </row>
    <row r="949" spans="2:16" hidden="1">
      <c r="B949" s="79"/>
      <c r="C949" s="79"/>
      <c r="D949" s="81" t="s">
        <v>180</v>
      </c>
      <c r="E949" s="87">
        <v>2009</v>
      </c>
      <c r="F949" s="88">
        <v>637.7553999999999</v>
      </c>
      <c r="G949" s="88">
        <v>3039.0509000000002</v>
      </c>
      <c r="H949" s="88">
        <v>12392.559000000005</v>
      </c>
      <c r="I949" s="88">
        <v>7683.3015999999943</v>
      </c>
      <c r="J949" s="88">
        <v>11367.57220000001</v>
      </c>
      <c r="K949" s="88">
        <v>1723.5649999999998</v>
      </c>
      <c r="L949" s="88">
        <v>425.03619999999972</v>
      </c>
      <c r="M949" s="88">
        <v>249.35159999999996</v>
      </c>
      <c r="N949" s="88">
        <v>138.32590000000002</v>
      </c>
      <c r="O949" s="88">
        <v>0</v>
      </c>
      <c r="P949" s="88">
        <v>37656.517800000009</v>
      </c>
    </row>
    <row r="950" spans="2:16" hidden="1">
      <c r="B950" s="79"/>
      <c r="C950" s="79"/>
      <c r="D950" s="81" t="s">
        <v>180</v>
      </c>
      <c r="E950" s="87">
        <v>2010</v>
      </c>
      <c r="F950" s="88">
        <v>1195.7134999999996</v>
      </c>
      <c r="G950" s="88">
        <v>2902.664499999999</v>
      </c>
      <c r="H950" s="88">
        <v>11341.471500000009</v>
      </c>
      <c r="I950" s="88">
        <v>6984.8045999999986</v>
      </c>
      <c r="J950" s="88">
        <v>11380.463900000006</v>
      </c>
      <c r="K950" s="88">
        <v>2067.5127999999995</v>
      </c>
      <c r="L950" s="88">
        <v>586.34010000000023</v>
      </c>
      <c r="M950" s="88">
        <v>247.3134</v>
      </c>
      <c r="N950" s="88">
        <v>130.5067</v>
      </c>
      <c r="O950" s="88">
        <v>0</v>
      </c>
      <c r="P950" s="88">
        <v>36836.791000000012</v>
      </c>
    </row>
    <row r="951" spans="2:16" hidden="1">
      <c r="B951" s="79"/>
      <c r="C951" s="79"/>
      <c r="D951" s="81" t="s">
        <v>180</v>
      </c>
      <c r="E951" s="87">
        <v>2011</v>
      </c>
      <c r="F951" s="88">
        <v>1200.5014999999999</v>
      </c>
      <c r="G951" s="88">
        <v>3102.9838000000013</v>
      </c>
      <c r="H951" s="88">
        <v>10339.878500000004</v>
      </c>
      <c r="I951" s="88">
        <v>6769.3788000000004</v>
      </c>
      <c r="J951" s="88">
        <v>10265.369200000006</v>
      </c>
      <c r="K951" s="88">
        <v>2561.110200000001</v>
      </c>
      <c r="L951" s="88">
        <v>510.9945000000003</v>
      </c>
      <c r="M951" s="88">
        <v>260.30749999999995</v>
      </c>
      <c r="N951" s="88">
        <v>137.7518</v>
      </c>
      <c r="O951" s="88">
        <v>0</v>
      </c>
      <c r="P951" s="88">
        <v>35148.275799999996</v>
      </c>
    </row>
    <row r="952" spans="2:16" hidden="1">
      <c r="B952" s="79"/>
      <c r="C952" s="79"/>
      <c r="D952" s="81" t="s">
        <v>180</v>
      </c>
      <c r="E952" s="82">
        <v>2012</v>
      </c>
      <c r="F952" s="83">
        <v>691.66530000000012</v>
      </c>
      <c r="G952" s="83">
        <v>2632.6369000000004</v>
      </c>
      <c r="H952" s="83">
        <v>9562.8409000000065</v>
      </c>
      <c r="I952" s="83">
        <v>6071.0522999999957</v>
      </c>
      <c r="J952" s="83">
        <v>10277.807100000005</v>
      </c>
      <c r="K952" s="83">
        <v>3120.6768999999995</v>
      </c>
      <c r="L952" s="83">
        <v>500.17460000000017</v>
      </c>
      <c r="M952" s="83">
        <v>263.78979999999996</v>
      </c>
      <c r="N952" s="83">
        <v>128.66820000000001</v>
      </c>
      <c r="O952" s="83">
        <v>0</v>
      </c>
      <c r="P952" s="83">
        <v>33249.31200000002</v>
      </c>
    </row>
    <row r="953" spans="2:16" hidden="1">
      <c r="B953" s="79"/>
      <c r="C953" s="79"/>
      <c r="D953" s="77" t="s">
        <v>180</v>
      </c>
      <c r="E953" s="87">
        <v>2005</v>
      </c>
      <c r="F953" s="88">
        <v>13.008199999999999</v>
      </c>
      <c r="G953" s="88">
        <v>230.53670000000005</v>
      </c>
      <c r="H953" s="88">
        <v>592.52389999999991</v>
      </c>
      <c r="I953" s="88">
        <v>386.04709999999989</v>
      </c>
      <c r="J953" s="88">
        <v>3723.9102999999991</v>
      </c>
      <c r="K953" s="88">
        <v>256.64229999999992</v>
      </c>
      <c r="L953" s="88">
        <v>51.266199999999998</v>
      </c>
      <c r="M953" s="88">
        <v>46.945299999999996</v>
      </c>
      <c r="N953" s="88">
        <v>167.3826</v>
      </c>
      <c r="O953" s="88">
        <v>0</v>
      </c>
      <c r="P953" s="88">
        <v>5468.2626000000046</v>
      </c>
    </row>
    <row r="954" spans="2:16" hidden="1">
      <c r="B954" s="79"/>
      <c r="C954" s="79"/>
      <c r="D954" s="81" t="s">
        <v>179</v>
      </c>
      <c r="E954" s="87">
        <v>2006</v>
      </c>
      <c r="F954" s="88">
        <v>18.097100000000001</v>
      </c>
      <c r="G954" s="88">
        <v>247.48800000000006</v>
      </c>
      <c r="H954" s="88">
        <v>440.23539999999997</v>
      </c>
      <c r="I954" s="88">
        <v>516.59610000000009</v>
      </c>
      <c r="J954" s="88">
        <v>2883.2882999999993</v>
      </c>
      <c r="K954" s="88">
        <v>301.74309999999997</v>
      </c>
      <c r="L954" s="88">
        <v>60.528999999999989</v>
      </c>
      <c r="M954" s="88">
        <v>60.018399999999986</v>
      </c>
      <c r="N954" s="88">
        <v>102.44010000000002</v>
      </c>
      <c r="O954" s="88">
        <v>0</v>
      </c>
      <c r="P954" s="88">
        <v>4630.4354999999987</v>
      </c>
    </row>
    <row r="955" spans="2:16" hidden="1">
      <c r="B955" s="79"/>
      <c r="C955" s="79"/>
      <c r="D955" s="81" t="s">
        <v>179</v>
      </c>
      <c r="E955" s="87">
        <v>2007</v>
      </c>
      <c r="F955" s="88">
        <v>21.910499999999999</v>
      </c>
      <c r="G955" s="88">
        <v>263.64579999999995</v>
      </c>
      <c r="H955" s="88">
        <v>355.80929999999995</v>
      </c>
      <c r="I955" s="88">
        <v>694.90300000000002</v>
      </c>
      <c r="J955" s="88">
        <v>2656.0897999999993</v>
      </c>
      <c r="K955" s="88">
        <v>251.10159999999985</v>
      </c>
      <c r="L955" s="88">
        <v>51.380499999999991</v>
      </c>
      <c r="M955" s="88">
        <v>61.066799999999986</v>
      </c>
      <c r="N955" s="88">
        <v>78.739400000000018</v>
      </c>
      <c r="O955" s="88">
        <v>0</v>
      </c>
      <c r="P955" s="88">
        <v>4434.6466999999984</v>
      </c>
    </row>
    <row r="956" spans="2:16" hidden="1">
      <c r="B956" s="79"/>
      <c r="C956" s="79"/>
      <c r="D956" s="81" t="s">
        <v>179</v>
      </c>
      <c r="E956" s="87">
        <v>2008</v>
      </c>
      <c r="F956" s="88">
        <v>17.1281</v>
      </c>
      <c r="G956" s="88">
        <v>251.03190000000006</v>
      </c>
      <c r="H956" s="88">
        <v>360.13720000000001</v>
      </c>
      <c r="I956" s="88">
        <v>965.9205000000004</v>
      </c>
      <c r="J956" s="88">
        <v>2788.3812999999986</v>
      </c>
      <c r="K956" s="88">
        <v>268.52979999999997</v>
      </c>
      <c r="L956" s="88">
        <v>147.96259999999998</v>
      </c>
      <c r="M956" s="88">
        <v>54.299399999999984</v>
      </c>
      <c r="N956" s="88">
        <v>107.54480000000002</v>
      </c>
      <c r="O956" s="88">
        <v>0</v>
      </c>
      <c r="P956" s="88">
        <v>4960.9355999999971</v>
      </c>
    </row>
    <row r="957" spans="2:16" hidden="1">
      <c r="B957" s="79"/>
      <c r="C957" s="79"/>
      <c r="D957" s="81" t="s">
        <v>179</v>
      </c>
      <c r="E957" s="87">
        <v>2009</v>
      </c>
      <c r="F957" s="88">
        <v>39.539000000000001</v>
      </c>
      <c r="G957" s="88">
        <v>308.31320000000005</v>
      </c>
      <c r="H957" s="88">
        <v>405.03129999999993</v>
      </c>
      <c r="I957" s="88">
        <v>861.60140000000024</v>
      </c>
      <c r="J957" s="88">
        <v>3468.1657999999998</v>
      </c>
      <c r="K957" s="88">
        <v>390.52859999999981</v>
      </c>
      <c r="L957" s="88">
        <v>227.02799999999999</v>
      </c>
      <c r="M957" s="88">
        <v>104.95210000000002</v>
      </c>
      <c r="N957" s="88">
        <v>96.60329999999999</v>
      </c>
      <c r="O957" s="88">
        <v>0</v>
      </c>
      <c r="P957" s="88">
        <v>5901.7626999999984</v>
      </c>
    </row>
    <row r="958" spans="2:16" hidden="1">
      <c r="B958" s="79"/>
      <c r="C958" s="79"/>
      <c r="D958" s="81" t="s">
        <v>179</v>
      </c>
      <c r="E958" s="87">
        <v>2010</v>
      </c>
      <c r="F958" s="88">
        <v>54.430399999999999</v>
      </c>
      <c r="G958" s="88">
        <v>269.16060000000004</v>
      </c>
      <c r="H958" s="88">
        <v>338.65890000000002</v>
      </c>
      <c r="I958" s="88">
        <v>688.41200000000003</v>
      </c>
      <c r="J958" s="88">
        <v>3626.2958999999992</v>
      </c>
      <c r="K958" s="88">
        <v>430.25209999999998</v>
      </c>
      <c r="L958" s="88">
        <v>197.9</v>
      </c>
      <c r="M958" s="88">
        <v>120.87269999999999</v>
      </c>
      <c r="N958" s="88">
        <v>67.063299999999998</v>
      </c>
      <c r="O958" s="88">
        <v>0</v>
      </c>
      <c r="P958" s="88">
        <v>5793.0458999999983</v>
      </c>
    </row>
    <row r="959" spans="2:16" hidden="1">
      <c r="B959" s="79"/>
      <c r="C959" s="79"/>
      <c r="D959" s="81" t="s">
        <v>179</v>
      </c>
      <c r="E959" s="87">
        <v>2011</v>
      </c>
      <c r="F959" s="88">
        <v>44.592199999999984</v>
      </c>
      <c r="G959" s="88">
        <v>299.12870000000004</v>
      </c>
      <c r="H959" s="88">
        <v>293.37430000000006</v>
      </c>
      <c r="I959" s="88">
        <v>661.57230000000015</v>
      </c>
      <c r="J959" s="88">
        <v>4851.2876999999944</v>
      </c>
      <c r="K959" s="88">
        <v>429.61319999999984</v>
      </c>
      <c r="L959" s="88">
        <v>209.673</v>
      </c>
      <c r="M959" s="88">
        <v>140.96869999999998</v>
      </c>
      <c r="N959" s="88">
        <v>81.352599999999995</v>
      </c>
      <c r="O959" s="88">
        <v>0</v>
      </c>
      <c r="P959" s="88">
        <v>7011.5627000000004</v>
      </c>
    </row>
    <row r="960" spans="2:16" hidden="1">
      <c r="B960" s="79"/>
      <c r="C960" s="79"/>
      <c r="D960" s="81" t="s">
        <v>179</v>
      </c>
      <c r="E960" s="82">
        <v>2012</v>
      </c>
      <c r="F960" s="83">
        <v>52.309900000000006</v>
      </c>
      <c r="G960" s="83">
        <v>227.60120000000003</v>
      </c>
      <c r="H960" s="83">
        <v>259.48689999999999</v>
      </c>
      <c r="I960" s="83">
        <v>458.09409999999997</v>
      </c>
      <c r="J960" s="83">
        <v>4953.5348999999987</v>
      </c>
      <c r="K960" s="83">
        <v>493.74359999999996</v>
      </c>
      <c r="L960" s="83">
        <v>213.79850000000002</v>
      </c>
      <c r="M960" s="83">
        <v>175.29130000000001</v>
      </c>
      <c r="N960" s="83">
        <v>84.955300000000037</v>
      </c>
      <c r="O960" s="83">
        <v>0</v>
      </c>
      <c r="P960" s="83">
        <v>6918.8156999999928</v>
      </c>
    </row>
    <row r="961" spans="2:16" hidden="1">
      <c r="B961" s="79"/>
      <c r="C961" s="79"/>
      <c r="D961" s="77" t="s">
        <v>119</v>
      </c>
      <c r="E961" s="87">
        <v>2005</v>
      </c>
      <c r="F961" s="88">
        <v>985.4445999999997</v>
      </c>
      <c r="G961" s="88">
        <v>4707.0899000000009</v>
      </c>
      <c r="H961" s="88">
        <v>14038.300299999986</v>
      </c>
      <c r="I961" s="88">
        <v>6664.1845000000003</v>
      </c>
      <c r="J961" s="88">
        <v>12744.779500000002</v>
      </c>
      <c r="K961" s="88">
        <v>1152.9478999999999</v>
      </c>
      <c r="L961" s="88">
        <v>299.57349999999974</v>
      </c>
      <c r="M961" s="88">
        <v>246.00449999999992</v>
      </c>
      <c r="N961" s="88">
        <v>277.98520000000002</v>
      </c>
      <c r="O961" s="88">
        <v>0</v>
      </c>
      <c r="P961" s="88">
        <v>41116.309899999935</v>
      </c>
    </row>
    <row r="962" spans="2:16" hidden="1">
      <c r="B962" s="79"/>
      <c r="C962" s="79"/>
      <c r="D962" s="81" t="s">
        <v>119</v>
      </c>
      <c r="E962" s="87">
        <v>2006</v>
      </c>
      <c r="F962" s="88">
        <v>1144.0360999999998</v>
      </c>
      <c r="G962" s="88">
        <v>5329.8949000000021</v>
      </c>
      <c r="H962" s="88">
        <v>13847.961599999999</v>
      </c>
      <c r="I962" s="88">
        <v>7306.0438000000022</v>
      </c>
      <c r="J962" s="88">
        <v>12271.697100000009</v>
      </c>
      <c r="K962" s="88">
        <v>1255.394</v>
      </c>
      <c r="L962" s="88">
        <v>380.62309999999985</v>
      </c>
      <c r="M962" s="88">
        <v>242.28429999999986</v>
      </c>
      <c r="N962" s="88">
        <v>225.29120000000003</v>
      </c>
      <c r="O962" s="88">
        <v>0</v>
      </c>
      <c r="P962" s="88">
        <v>42003.226100000044</v>
      </c>
    </row>
    <row r="963" spans="2:16" hidden="1">
      <c r="B963" s="79"/>
      <c r="C963" s="79"/>
      <c r="D963" s="81" t="s">
        <v>119</v>
      </c>
      <c r="E963" s="87">
        <v>2007</v>
      </c>
      <c r="F963" s="88">
        <v>801.69260000000008</v>
      </c>
      <c r="G963" s="88">
        <v>3800.4095999999995</v>
      </c>
      <c r="H963" s="88">
        <v>13332.485900000016</v>
      </c>
      <c r="I963" s="88">
        <v>8189.6439000000018</v>
      </c>
      <c r="J963" s="88">
        <v>12434.212200000007</v>
      </c>
      <c r="K963" s="88">
        <v>1401.5576999999998</v>
      </c>
      <c r="L963" s="88">
        <v>374.77829999999983</v>
      </c>
      <c r="M963" s="88">
        <v>269.02679999999981</v>
      </c>
      <c r="N963" s="88">
        <v>233.09800000000004</v>
      </c>
      <c r="O963" s="88">
        <v>0</v>
      </c>
      <c r="P963" s="88">
        <v>40836.905000000021</v>
      </c>
    </row>
    <row r="964" spans="2:16" hidden="1">
      <c r="B964" s="79"/>
      <c r="C964" s="79"/>
      <c r="D964" s="81" t="s">
        <v>119</v>
      </c>
      <c r="E964" s="87">
        <v>2008</v>
      </c>
      <c r="F964" s="88">
        <v>688.81609999999989</v>
      </c>
      <c r="G964" s="88">
        <v>3408.1871999999994</v>
      </c>
      <c r="H964" s="88">
        <v>13410.302100000001</v>
      </c>
      <c r="I964" s="88">
        <v>7901.2166999999963</v>
      </c>
      <c r="J964" s="88">
        <v>13158.449300000006</v>
      </c>
      <c r="K964" s="88">
        <v>1586.2645</v>
      </c>
      <c r="L964" s="88">
        <v>480.80709999999988</v>
      </c>
      <c r="M964" s="88">
        <v>239.30569999999997</v>
      </c>
      <c r="N964" s="88">
        <v>245.08490000000006</v>
      </c>
      <c r="O964" s="88">
        <v>0</v>
      </c>
      <c r="P964" s="88">
        <v>41118.433600000033</v>
      </c>
    </row>
    <row r="965" spans="2:16" hidden="1">
      <c r="B965" s="79"/>
      <c r="C965" s="79"/>
      <c r="D965" s="81" t="s">
        <v>119</v>
      </c>
      <c r="E965" s="87">
        <v>2009</v>
      </c>
      <c r="F965" s="88">
        <v>677.29439999999988</v>
      </c>
      <c r="G965" s="88">
        <v>3347.3641000000002</v>
      </c>
      <c r="H965" s="88">
        <v>12797.590300000005</v>
      </c>
      <c r="I965" s="88">
        <v>8544.9029999999948</v>
      </c>
      <c r="J965" s="88">
        <v>14835.738000000008</v>
      </c>
      <c r="K965" s="88">
        <v>2114.0935999999997</v>
      </c>
      <c r="L965" s="88">
        <v>652.06419999999969</v>
      </c>
      <c r="M965" s="88">
        <v>354.30369999999999</v>
      </c>
      <c r="N965" s="88">
        <v>234.92920000000001</v>
      </c>
      <c r="O965" s="88">
        <v>0</v>
      </c>
      <c r="P965" s="88">
        <v>43558.280500000008</v>
      </c>
    </row>
    <row r="966" spans="2:16" hidden="1">
      <c r="B966" s="79"/>
      <c r="C966" s="79"/>
      <c r="D966" s="81" t="s">
        <v>119</v>
      </c>
      <c r="E966" s="87">
        <v>2010</v>
      </c>
      <c r="F966" s="88">
        <v>1250.1438999999996</v>
      </c>
      <c r="G966" s="88">
        <v>3171.8250999999991</v>
      </c>
      <c r="H966" s="88">
        <v>11680.130400000009</v>
      </c>
      <c r="I966" s="88">
        <v>7673.2165999999988</v>
      </c>
      <c r="J966" s="88">
        <v>15006.759800000005</v>
      </c>
      <c r="K966" s="88">
        <v>2497.7648999999997</v>
      </c>
      <c r="L966" s="88">
        <v>784.24010000000021</v>
      </c>
      <c r="M966" s="88">
        <v>368.18610000000001</v>
      </c>
      <c r="N966" s="88">
        <v>197.57</v>
      </c>
      <c r="O966" s="88">
        <v>0</v>
      </c>
      <c r="P966" s="88">
        <v>42629.836900000009</v>
      </c>
    </row>
    <row r="967" spans="2:16" hidden="1">
      <c r="B967" s="79"/>
      <c r="C967" s="79"/>
      <c r="D967" s="81" t="s">
        <v>119</v>
      </c>
      <c r="E967" s="87">
        <v>2011</v>
      </c>
      <c r="F967" s="88">
        <v>1245.0936999999999</v>
      </c>
      <c r="G967" s="88">
        <v>3402.1125000000015</v>
      </c>
      <c r="H967" s="88">
        <v>10633.252800000004</v>
      </c>
      <c r="I967" s="88">
        <v>7430.9511000000002</v>
      </c>
      <c r="J967" s="88">
        <v>15116.656900000002</v>
      </c>
      <c r="K967" s="88">
        <v>2990.7234000000008</v>
      </c>
      <c r="L967" s="88">
        <v>720.66750000000025</v>
      </c>
      <c r="M967" s="88">
        <v>401.2761999999999</v>
      </c>
      <c r="N967" s="88">
        <v>219.1044</v>
      </c>
      <c r="O967" s="88">
        <v>0</v>
      </c>
      <c r="P967" s="88">
        <v>42159.838499999998</v>
      </c>
    </row>
    <row r="968" spans="2:16" hidden="1">
      <c r="B968" s="89"/>
      <c r="C968" s="89"/>
      <c r="D968" s="81" t="s">
        <v>119</v>
      </c>
      <c r="E968" s="82">
        <v>2012</v>
      </c>
      <c r="F968" s="83">
        <v>743.97520000000009</v>
      </c>
      <c r="G968" s="83">
        <v>2860.2381000000005</v>
      </c>
      <c r="H968" s="83">
        <v>9822.3278000000064</v>
      </c>
      <c r="I968" s="83">
        <v>6529.146399999996</v>
      </c>
      <c r="J968" s="83">
        <v>15231.342000000004</v>
      </c>
      <c r="K968" s="83">
        <v>3614.4204999999993</v>
      </c>
      <c r="L968" s="83">
        <v>713.97310000000016</v>
      </c>
      <c r="M968" s="83">
        <v>439.08109999999999</v>
      </c>
      <c r="N968" s="83">
        <v>213.62350000000004</v>
      </c>
      <c r="O968" s="83">
        <v>0</v>
      </c>
      <c r="P968" s="83">
        <v>40168.127700000012</v>
      </c>
    </row>
    <row r="969" spans="2:16" hidden="1">
      <c r="B969" s="79" t="s">
        <v>119</v>
      </c>
      <c r="C969" s="76" t="s">
        <v>119</v>
      </c>
      <c r="D969" s="77" t="s">
        <v>179</v>
      </c>
      <c r="E969" s="87">
        <v>2005</v>
      </c>
      <c r="F969" s="86">
        <v>8915.9781999999486</v>
      </c>
      <c r="G969" s="86">
        <v>23622.438600000009</v>
      </c>
      <c r="H969" s="86">
        <v>31586.958299999853</v>
      </c>
      <c r="I969" s="86">
        <v>33279.5148999999</v>
      </c>
      <c r="J969" s="86">
        <v>31382.151699999908</v>
      </c>
      <c r="K969" s="86">
        <v>88026.544200000179</v>
      </c>
      <c r="L969" s="86">
        <v>5559.231399999996</v>
      </c>
      <c r="M969" s="86">
        <v>11316.349999999975</v>
      </c>
      <c r="N969" s="86">
        <v>6342.3544999999986</v>
      </c>
      <c r="O969" s="86">
        <v>3405.4727000000003</v>
      </c>
      <c r="P969" s="86">
        <v>243436.99450000067</v>
      </c>
    </row>
    <row r="970" spans="2:16" hidden="1">
      <c r="B970" s="79"/>
      <c r="C970" s="79"/>
      <c r="D970" s="81" t="s">
        <v>180</v>
      </c>
      <c r="E970" s="87">
        <v>2006</v>
      </c>
      <c r="F970" s="88">
        <v>5354.3113000000058</v>
      </c>
      <c r="G970" s="88">
        <v>24041.631100000195</v>
      </c>
      <c r="H970" s="88">
        <v>30316.541999999943</v>
      </c>
      <c r="I970" s="88">
        <v>31325.741599999968</v>
      </c>
      <c r="J970" s="88">
        <v>30752.317499999972</v>
      </c>
      <c r="K970" s="88">
        <v>87993.255899999975</v>
      </c>
      <c r="L970" s="88">
        <v>5289.9888999999966</v>
      </c>
      <c r="M970" s="88">
        <v>11756.111700000012</v>
      </c>
      <c r="N970" s="88">
        <v>5864.9898999999987</v>
      </c>
      <c r="O970" s="88">
        <v>3518.0989000000009</v>
      </c>
      <c r="P970" s="88">
        <v>236212.98880000049</v>
      </c>
    </row>
    <row r="971" spans="2:16" hidden="1">
      <c r="B971" s="79"/>
      <c r="C971" s="79"/>
      <c r="D971" s="81" t="s">
        <v>180</v>
      </c>
      <c r="E971" s="87">
        <v>2007</v>
      </c>
      <c r="F971" s="88">
        <v>4286.5777000000026</v>
      </c>
      <c r="G971" s="88">
        <v>23445.703299999961</v>
      </c>
      <c r="H971" s="88">
        <v>29899.449399999969</v>
      </c>
      <c r="I971" s="88">
        <v>31171.091399999917</v>
      </c>
      <c r="J971" s="88">
        <v>31120.916999999954</v>
      </c>
      <c r="K971" s="88">
        <v>91311.905300000217</v>
      </c>
      <c r="L971" s="88">
        <v>5430.9113000000016</v>
      </c>
      <c r="M971" s="88">
        <v>12193.122700000013</v>
      </c>
      <c r="N971" s="88">
        <v>5740.8460999999979</v>
      </c>
      <c r="O971" s="88">
        <v>3759.982</v>
      </c>
      <c r="P971" s="88">
        <v>238360.50620000172</v>
      </c>
    </row>
    <row r="972" spans="2:16" hidden="1">
      <c r="B972" s="79"/>
      <c r="C972" s="79"/>
      <c r="D972" s="81" t="s">
        <v>180</v>
      </c>
      <c r="E972" s="87">
        <v>2008</v>
      </c>
      <c r="F972" s="88">
        <v>3016.830099999996</v>
      </c>
      <c r="G972" s="88">
        <v>21835.140399999967</v>
      </c>
      <c r="H972" s="88">
        <v>29951.004300000001</v>
      </c>
      <c r="I972" s="88">
        <v>29886.053999999869</v>
      </c>
      <c r="J972" s="88">
        <v>30873.777399999937</v>
      </c>
      <c r="K972" s="88">
        <v>93366.231799999703</v>
      </c>
      <c r="L972" s="88">
        <v>5212.4740000000011</v>
      </c>
      <c r="M972" s="88">
        <v>12516.304300000011</v>
      </c>
      <c r="N972" s="88">
        <v>5658.0943999999981</v>
      </c>
      <c r="O972" s="88">
        <v>3759.4264000000007</v>
      </c>
      <c r="P972" s="88">
        <v>236075.33710000126</v>
      </c>
    </row>
    <row r="973" spans="2:16" hidden="1">
      <c r="B973" s="79"/>
      <c r="C973" s="79"/>
      <c r="D973" s="81" t="s">
        <v>180</v>
      </c>
      <c r="E973" s="87">
        <v>2009</v>
      </c>
      <c r="F973" s="88">
        <v>2775.5638999999965</v>
      </c>
      <c r="G973" s="88">
        <v>21825.909200000006</v>
      </c>
      <c r="H973" s="88">
        <v>31422.958299999966</v>
      </c>
      <c r="I973" s="88">
        <v>32478.517899999948</v>
      </c>
      <c r="J973" s="88">
        <v>33028.278899999976</v>
      </c>
      <c r="K973" s="88">
        <v>99108.327299999539</v>
      </c>
      <c r="L973" s="88">
        <v>6102.3042000000032</v>
      </c>
      <c r="M973" s="88">
        <v>14751.005600000024</v>
      </c>
      <c r="N973" s="88">
        <v>6036.7592999999997</v>
      </c>
      <c r="O973" s="88">
        <v>3951.5678000000012</v>
      </c>
      <c r="P973" s="88">
        <v>251481.19240000099</v>
      </c>
    </row>
    <row r="974" spans="2:16" hidden="1">
      <c r="B974" s="79"/>
      <c r="C974" s="79"/>
      <c r="D974" s="81" t="s">
        <v>180</v>
      </c>
      <c r="E974" s="87">
        <v>2010</v>
      </c>
      <c r="F974" s="88">
        <v>3511.0124999999994</v>
      </c>
      <c r="G974" s="88">
        <v>20121.816299999991</v>
      </c>
      <c r="H974" s="88">
        <v>30701.058600000018</v>
      </c>
      <c r="I974" s="88">
        <v>31332.889299999973</v>
      </c>
      <c r="J974" s="88">
        <v>33307.915899999934</v>
      </c>
      <c r="K974" s="88">
        <v>103991.51819999992</v>
      </c>
      <c r="L974" s="88">
        <v>6391.7449000000051</v>
      </c>
      <c r="M974" s="88">
        <v>15646.885600000011</v>
      </c>
      <c r="N974" s="88">
        <v>6389.3279999999977</v>
      </c>
      <c r="O974" s="88">
        <v>3923.8237999999965</v>
      </c>
      <c r="P974" s="88">
        <v>255317.99310000151</v>
      </c>
    </row>
    <row r="975" spans="2:16" hidden="1">
      <c r="B975" s="79"/>
      <c r="C975" s="79"/>
      <c r="D975" s="81" t="s">
        <v>180</v>
      </c>
      <c r="E975" s="87">
        <v>2011</v>
      </c>
      <c r="F975" s="88">
        <v>3668.1534999999972</v>
      </c>
      <c r="G975" s="88">
        <v>19606.170099999985</v>
      </c>
      <c r="H975" s="88">
        <v>27714.213799999983</v>
      </c>
      <c r="I975" s="88">
        <v>29363.60699999996</v>
      </c>
      <c r="J975" s="88">
        <v>29804.794899999953</v>
      </c>
      <c r="K975" s="88">
        <v>105166.44340000003</v>
      </c>
      <c r="L975" s="88">
        <v>5599.8050000000039</v>
      </c>
      <c r="M975" s="88">
        <v>14938.966800000015</v>
      </c>
      <c r="N975" s="88">
        <v>6534.1145999999981</v>
      </c>
      <c r="O975" s="88">
        <v>3869.7153000000017</v>
      </c>
      <c r="P975" s="88">
        <v>246265.98440000234</v>
      </c>
    </row>
    <row r="976" spans="2:16" hidden="1">
      <c r="B976" s="79"/>
      <c r="C976" s="79"/>
      <c r="D976" s="81" t="s">
        <v>180</v>
      </c>
      <c r="E976" s="82">
        <v>2012</v>
      </c>
      <c r="F976" s="83">
        <v>3585.3408000000004</v>
      </c>
      <c r="G976" s="83">
        <v>18676.462499999991</v>
      </c>
      <c r="H976" s="83">
        <v>27740.073799999976</v>
      </c>
      <c r="I976" s="83">
        <v>29687.521899999982</v>
      </c>
      <c r="J976" s="83">
        <v>28489.946699999982</v>
      </c>
      <c r="K976" s="83">
        <v>107890.87300000024</v>
      </c>
      <c r="L976" s="83">
        <v>5405.8709000000053</v>
      </c>
      <c r="M976" s="83">
        <v>14781.151100000023</v>
      </c>
      <c r="N976" s="83">
        <v>6607.2858999999989</v>
      </c>
      <c r="O976" s="83">
        <v>3780.4246999999991</v>
      </c>
      <c r="P976" s="83">
        <v>246644.95130000211</v>
      </c>
    </row>
    <row r="977" spans="2:16" hidden="1">
      <c r="B977" s="79"/>
      <c r="C977" s="79"/>
      <c r="D977" s="77" t="s">
        <v>180</v>
      </c>
      <c r="E977" s="87">
        <v>2005</v>
      </c>
      <c r="F977" s="88">
        <v>50.41129999999999</v>
      </c>
      <c r="G977" s="88">
        <v>530.85080000000028</v>
      </c>
      <c r="H977" s="88">
        <v>1563.2541000000006</v>
      </c>
      <c r="I977" s="88">
        <v>1689.9119999999996</v>
      </c>
      <c r="J977" s="88">
        <v>9146.3430999999728</v>
      </c>
      <c r="K977" s="88">
        <v>20239.127000000048</v>
      </c>
      <c r="L977" s="88">
        <v>719.08699999999999</v>
      </c>
      <c r="M977" s="88">
        <v>1540.5354999999988</v>
      </c>
      <c r="N977" s="88">
        <v>1368.1053999999995</v>
      </c>
      <c r="O977" s="88">
        <v>610.57970000000012</v>
      </c>
      <c r="P977" s="88">
        <v>37458.205900000445</v>
      </c>
    </row>
    <row r="978" spans="2:16" hidden="1">
      <c r="B978" s="79"/>
      <c r="C978" s="79"/>
      <c r="D978" s="81" t="s">
        <v>179</v>
      </c>
      <c r="E978" s="87">
        <v>2006</v>
      </c>
      <c r="F978" s="88">
        <v>40.583600000000011</v>
      </c>
      <c r="G978" s="88">
        <v>518.29110000000026</v>
      </c>
      <c r="H978" s="88">
        <v>1166.8726999999999</v>
      </c>
      <c r="I978" s="88">
        <v>1765.3226999999993</v>
      </c>
      <c r="J978" s="88">
        <v>6471.3477999999941</v>
      </c>
      <c r="K978" s="88">
        <v>17735.552300000039</v>
      </c>
      <c r="L978" s="88">
        <v>643.6913999999997</v>
      </c>
      <c r="M978" s="88">
        <v>1518.2474</v>
      </c>
      <c r="N978" s="88">
        <v>1142.6105</v>
      </c>
      <c r="O978" s="88">
        <v>887.45220000000006</v>
      </c>
      <c r="P978" s="88">
        <v>31889.971700000089</v>
      </c>
    </row>
    <row r="979" spans="2:16" hidden="1">
      <c r="B979" s="79"/>
      <c r="C979" s="79"/>
      <c r="D979" s="81" t="s">
        <v>179</v>
      </c>
      <c r="E979" s="87">
        <v>2007</v>
      </c>
      <c r="F979" s="88">
        <v>66.5989</v>
      </c>
      <c r="G979" s="88">
        <v>429.30859999999996</v>
      </c>
      <c r="H979" s="88">
        <v>1158.7563000000005</v>
      </c>
      <c r="I979" s="88">
        <v>2119.8468000000003</v>
      </c>
      <c r="J979" s="88">
        <v>5227.7865999999949</v>
      </c>
      <c r="K979" s="88">
        <v>14324.808100000027</v>
      </c>
      <c r="L979" s="88">
        <v>702.54129999999998</v>
      </c>
      <c r="M979" s="88">
        <v>1626.4996000000001</v>
      </c>
      <c r="N979" s="88">
        <v>1126.4688000000001</v>
      </c>
      <c r="O979" s="88">
        <v>1290.9509</v>
      </c>
      <c r="P979" s="88">
        <v>28073.565900000001</v>
      </c>
    </row>
    <row r="980" spans="2:16" hidden="1">
      <c r="B980" s="79"/>
      <c r="C980" s="79"/>
      <c r="D980" s="81" t="s">
        <v>179</v>
      </c>
      <c r="E980" s="87">
        <v>2008</v>
      </c>
      <c r="F980" s="88">
        <v>103.00700000000001</v>
      </c>
      <c r="G980" s="88">
        <v>404.17040000000014</v>
      </c>
      <c r="H980" s="88">
        <v>1425.8696999999997</v>
      </c>
      <c r="I980" s="88">
        <v>2454.3526999999995</v>
      </c>
      <c r="J980" s="88">
        <v>5286.6025999999965</v>
      </c>
      <c r="K980" s="88">
        <v>11879.534500000007</v>
      </c>
      <c r="L980" s="88">
        <v>1033.0630000000001</v>
      </c>
      <c r="M980" s="88">
        <v>1585.2772999999995</v>
      </c>
      <c r="N980" s="88">
        <v>1264.0664000000008</v>
      </c>
      <c r="O980" s="88">
        <v>1667.6357</v>
      </c>
      <c r="P980" s="88">
        <v>27103.579300000012</v>
      </c>
    </row>
    <row r="981" spans="2:16" hidden="1">
      <c r="B981" s="79"/>
      <c r="C981" s="79"/>
      <c r="D981" s="81" t="s">
        <v>179</v>
      </c>
      <c r="E981" s="87">
        <v>2009</v>
      </c>
      <c r="F981" s="88">
        <v>111.15090000000001</v>
      </c>
      <c r="G981" s="88">
        <v>434.74480000000011</v>
      </c>
      <c r="H981" s="88">
        <v>1438.2483999999999</v>
      </c>
      <c r="I981" s="88">
        <v>2860.8577000000005</v>
      </c>
      <c r="J981" s="88">
        <v>6524.3902999999909</v>
      </c>
      <c r="K981" s="88">
        <v>11683.97369999999</v>
      </c>
      <c r="L981" s="88">
        <v>1261.3241000000007</v>
      </c>
      <c r="M981" s="88">
        <v>1873.6158</v>
      </c>
      <c r="N981" s="88">
        <v>1314.6388000000002</v>
      </c>
      <c r="O981" s="88">
        <v>2044.1320999999994</v>
      </c>
      <c r="P981" s="88">
        <v>29547.076600000073</v>
      </c>
    </row>
    <row r="982" spans="2:16" hidden="1">
      <c r="B982" s="79"/>
      <c r="C982" s="79"/>
      <c r="D982" s="81" t="s">
        <v>179</v>
      </c>
      <c r="E982" s="87">
        <v>2010</v>
      </c>
      <c r="F982" s="88">
        <v>134.63850000000005</v>
      </c>
      <c r="G982" s="88">
        <v>359.37390000000005</v>
      </c>
      <c r="H982" s="88">
        <v>1363.4226000000006</v>
      </c>
      <c r="I982" s="88">
        <v>2645.2439000000008</v>
      </c>
      <c r="J982" s="88">
        <v>6769.6004999999923</v>
      </c>
      <c r="K982" s="88">
        <v>12217.081500000008</v>
      </c>
      <c r="L982" s="88">
        <v>1266.7043000000006</v>
      </c>
      <c r="M982" s="88">
        <v>2044.0645999999999</v>
      </c>
      <c r="N982" s="88">
        <v>1386.7471000000003</v>
      </c>
      <c r="O982" s="88">
        <v>2311.2462999999998</v>
      </c>
      <c r="P982" s="88">
        <v>30498.123200000027</v>
      </c>
    </row>
    <row r="983" spans="2:16" hidden="1">
      <c r="B983" s="79"/>
      <c r="C983" s="79"/>
      <c r="D983" s="81" t="s">
        <v>179</v>
      </c>
      <c r="E983" s="87">
        <v>2011</v>
      </c>
      <c r="F983" s="88">
        <v>189.88900000000004</v>
      </c>
      <c r="G983" s="88">
        <v>424.85489999999999</v>
      </c>
      <c r="H983" s="88">
        <v>1338.8819000000003</v>
      </c>
      <c r="I983" s="88">
        <v>2466.1999999999994</v>
      </c>
      <c r="J983" s="88">
        <v>7874.2041999999901</v>
      </c>
      <c r="K983" s="88">
        <v>12687.462100000012</v>
      </c>
      <c r="L983" s="88">
        <v>1277.0539999999999</v>
      </c>
      <c r="M983" s="88">
        <v>2047.0263</v>
      </c>
      <c r="N983" s="88">
        <v>1351.8499000000006</v>
      </c>
      <c r="O983" s="88">
        <v>2600.3013000000001</v>
      </c>
      <c r="P983" s="88">
        <v>32257.723600000045</v>
      </c>
    </row>
    <row r="984" spans="2:16" hidden="1">
      <c r="B984" s="79"/>
      <c r="C984" s="79"/>
      <c r="D984" s="81" t="s">
        <v>179</v>
      </c>
      <c r="E984" s="82">
        <v>2012</v>
      </c>
      <c r="F984" s="83">
        <v>188.13480000000001</v>
      </c>
      <c r="G984" s="83">
        <v>344.28570000000002</v>
      </c>
      <c r="H984" s="83">
        <v>1182.5835000000002</v>
      </c>
      <c r="I984" s="83">
        <v>2286.8392000000013</v>
      </c>
      <c r="J984" s="83">
        <v>7932.6534999999958</v>
      </c>
      <c r="K984" s="83">
        <v>13111.814300000027</v>
      </c>
      <c r="L984" s="83">
        <v>1345.3012000000001</v>
      </c>
      <c r="M984" s="83">
        <v>2002.2914999999996</v>
      </c>
      <c r="N984" s="83">
        <v>1678.0062</v>
      </c>
      <c r="O984" s="83">
        <v>2776.8478000000032</v>
      </c>
      <c r="P984" s="83">
        <v>32848.75770000006</v>
      </c>
    </row>
    <row r="985" spans="2:16" hidden="1">
      <c r="B985" s="79"/>
      <c r="C985" s="79"/>
      <c r="D985" s="77" t="s">
        <v>119</v>
      </c>
      <c r="E985" s="87">
        <v>2005</v>
      </c>
      <c r="F985" s="88">
        <v>8966.3894999999484</v>
      </c>
      <c r="G985" s="88">
        <v>24153.289400000009</v>
      </c>
      <c r="H985" s="88">
        <v>33150.212399999851</v>
      </c>
      <c r="I985" s="88">
        <v>34969.426899999897</v>
      </c>
      <c r="J985" s="88">
        <v>40528.494799999884</v>
      </c>
      <c r="K985" s="88">
        <v>108265.67120000023</v>
      </c>
      <c r="L985" s="88">
        <v>6278.3183999999965</v>
      </c>
      <c r="M985" s="88">
        <v>12856.885499999973</v>
      </c>
      <c r="N985" s="88">
        <v>7710.459899999998</v>
      </c>
      <c r="O985" s="88">
        <v>4016.0524000000005</v>
      </c>
      <c r="P985" s="88">
        <v>280895.20040000114</v>
      </c>
    </row>
    <row r="986" spans="2:16" hidden="1">
      <c r="B986" s="79"/>
      <c r="C986" s="79"/>
      <c r="D986" s="81" t="s">
        <v>119</v>
      </c>
      <c r="E986" s="87">
        <v>2006</v>
      </c>
      <c r="F986" s="88">
        <v>5394.8949000000057</v>
      </c>
      <c r="G986" s="88">
        <v>24559.922200000194</v>
      </c>
      <c r="H986" s="88">
        <v>31483.414699999943</v>
      </c>
      <c r="I986" s="88">
        <v>33091.064299999969</v>
      </c>
      <c r="J986" s="88">
        <v>37223.665299999964</v>
      </c>
      <c r="K986" s="88">
        <v>105728.80820000001</v>
      </c>
      <c r="L986" s="88">
        <v>5933.6802999999964</v>
      </c>
      <c r="M986" s="88">
        <v>13274.359100000012</v>
      </c>
      <c r="N986" s="88">
        <v>7007.6003999999984</v>
      </c>
      <c r="O986" s="88">
        <v>4405.5511000000006</v>
      </c>
      <c r="P986" s="88">
        <v>268102.96050000057</v>
      </c>
    </row>
    <row r="987" spans="2:16" hidden="1">
      <c r="B987" s="79"/>
      <c r="C987" s="79"/>
      <c r="D987" s="81" t="s">
        <v>119</v>
      </c>
      <c r="E987" s="87">
        <v>2007</v>
      </c>
      <c r="F987" s="88">
        <v>4353.1766000000025</v>
      </c>
      <c r="G987" s="88">
        <v>23875.011899999961</v>
      </c>
      <c r="H987" s="88">
        <v>31058.20569999997</v>
      </c>
      <c r="I987" s="88">
        <v>33290.938199999917</v>
      </c>
      <c r="J987" s="88">
        <v>36348.70359999995</v>
      </c>
      <c r="K987" s="88">
        <v>105636.71340000024</v>
      </c>
      <c r="L987" s="88">
        <v>6133.4526000000014</v>
      </c>
      <c r="M987" s="88">
        <v>13819.622300000014</v>
      </c>
      <c r="N987" s="88">
        <v>6867.3148999999976</v>
      </c>
      <c r="O987" s="88">
        <v>5050.9328999999998</v>
      </c>
      <c r="P987" s="88">
        <v>266434.07210000174</v>
      </c>
    </row>
    <row r="988" spans="2:16" hidden="1">
      <c r="B988" s="79"/>
      <c r="C988" s="79"/>
      <c r="D988" s="81" t="s">
        <v>119</v>
      </c>
      <c r="E988" s="87">
        <v>2008</v>
      </c>
      <c r="F988" s="88">
        <v>3119.8370999999961</v>
      </c>
      <c r="G988" s="88">
        <v>22239.310799999967</v>
      </c>
      <c r="H988" s="88">
        <v>31376.874</v>
      </c>
      <c r="I988" s="88">
        <v>32340.406699999869</v>
      </c>
      <c r="J988" s="88">
        <v>36160.379999999932</v>
      </c>
      <c r="K988" s="88">
        <v>105245.76629999971</v>
      </c>
      <c r="L988" s="88">
        <v>6245.5370000000012</v>
      </c>
      <c r="M988" s="88">
        <v>14101.58160000001</v>
      </c>
      <c r="N988" s="88">
        <v>6922.1607999999987</v>
      </c>
      <c r="O988" s="88">
        <v>5427.062100000001</v>
      </c>
      <c r="P988" s="88">
        <v>263178.91640000127</v>
      </c>
    </row>
    <row r="989" spans="2:16" hidden="1">
      <c r="B989" s="79"/>
      <c r="C989" s="79"/>
      <c r="D989" s="81" t="s">
        <v>119</v>
      </c>
      <c r="E989" s="87">
        <v>2009</v>
      </c>
      <c r="F989" s="88">
        <v>2886.7147999999966</v>
      </c>
      <c r="G989" s="88">
        <v>22260.654000000006</v>
      </c>
      <c r="H989" s="88">
        <v>32861.206699999966</v>
      </c>
      <c r="I989" s="88">
        <v>35339.375599999948</v>
      </c>
      <c r="J989" s="88">
        <v>39552.669199999968</v>
      </c>
      <c r="K989" s="88">
        <v>110792.30099999953</v>
      </c>
      <c r="L989" s="88">
        <v>7363.6283000000039</v>
      </c>
      <c r="M989" s="88">
        <v>16624.621400000025</v>
      </c>
      <c r="N989" s="88">
        <v>7351.3981000000003</v>
      </c>
      <c r="O989" s="88">
        <v>5995.6999000000005</v>
      </c>
      <c r="P989" s="88">
        <v>281028.26900000108</v>
      </c>
    </row>
    <row r="990" spans="2:16" hidden="1">
      <c r="B990" s="79"/>
      <c r="C990" s="79"/>
      <c r="D990" s="81" t="s">
        <v>119</v>
      </c>
      <c r="E990" s="87">
        <v>2010</v>
      </c>
      <c r="F990" s="88">
        <v>3645.6509999999994</v>
      </c>
      <c r="G990" s="88">
        <v>20481.19019999999</v>
      </c>
      <c r="H990" s="88">
        <v>32064.48120000002</v>
      </c>
      <c r="I990" s="88">
        <v>33978.133199999975</v>
      </c>
      <c r="J990" s="88">
        <v>40077.516399999928</v>
      </c>
      <c r="K990" s="88">
        <v>116208.59969999993</v>
      </c>
      <c r="L990" s="88">
        <v>7658.4492000000055</v>
      </c>
      <c r="M990" s="88">
        <v>17690.95020000001</v>
      </c>
      <c r="N990" s="88">
        <v>7776.0750999999982</v>
      </c>
      <c r="O990" s="88">
        <v>6235.0700999999963</v>
      </c>
      <c r="P990" s="88">
        <v>285816.11630000151</v>
      </c>
    </row>
    <row r="991" spans="2:16" hidden="1">
      <c r="B991" s="79"/>
      <c r="C991" s="79"/>
      <c r="D991" s="81" t="s">
        <v>119</v>
      </c>
      <c r="E991" s="87">
        <v>2011</v>
      </c>
      <c r="F991" s="88">
        <v>3858.0424999999973</v>
      </c>
      <c r="G991" s="88">
        <v>20031.024999999983</v>
      </c>
      <c r="H991" s="88">
        <v>29053.095699999983</v>
      </c>
      <c r="I991" s="88">
        <v>31829.806999999961</v>
      </c>
      <c r="J991" s="88">
        <v>37678.999099999943</v>
      </c>
      <c r="K991" s="88">
        <v>117853.90550000005</v>
      </c>
      <c r="L991" s="88">
        <v>6876.859000000004</v>
      </c>
      <c r="M991" s="88">
        <v>16985.993100000014</v>
      </c>
      <c r="N991" s="88">
        <v>7885.9644999999982</v>
      </c>
      <c r="O991" s="88">
        <v>6470.0166000000017</v>
      </c>
      <c r="P991" s="88">
        <v>278523.70800000237</v>
      </c>
    </row>
    <row r="992" spans="2:16" hidden="1">
      <c r="B992" s="89"/>
      <c r="C992" s="89"/>
      <c r="D992" s="91" t="s">
        <v>119</v>
      </c>
      <c r="E992" s="82">
        <v>2012</v>
      </c>
      <c r="F992" s="83">
        <v>3773.4756000000002</v>
      </c>
      <c r="G992" s="83">
        <v>19020.748199999991</v>
      </c>
      <c r="H992" s="83">
        <v>28922.657299999977</v>
      </c>
      <c r="I992" s="83">
        <v>31974.361099999984</v>
      </c>
      <c r="J992" s="83">
        <v>36422.600199999979</v>
      </c>
      <c r="K992" s="83">
        <v>121002.68730000027</v>
      </c>
      <c r="L992" s="83">
        <v>6751.1721000000052</v>
      </c>
      <c r="M992" s="83">
        <v>16783.442600000024</v>
      </c>
      <c r="N992" s="83">
        <v>8285.2920999999988</v>
      </c>
      <c r="O992" s="83">
        <v>6557.2725000000028</v>
      </c>
      <c r="P992" s="83">
        <v>279493.70900000219</v>
      </c>
    </row>
    <row r="994" spans="1:2">
      <c r="A994" s="92"/>
      <c r="B994" s="93" t="s">
        <v>127</v>
      </c>
    </row>
    <row r="995" spans="1:2">
      <c r="A995" s="92">
        <v>1</v>
      </c>
      <c r="B995" s="93" t="s">
        <v>211</v>
      </c>
    </row>
    <row r="996" spans="1:2">
      <c r="A996" s="92">
        <f>A995+1</f>
        <v>2</v>
      </c>
      <c r="B996" s="93" t="s">
        <v>212</v>
      </c>
    </row>
    <row r="997" spans="1:2">
      <c r="A997" s="92">
        <f>A996+1</f>
        <v>3</v>
      </c>
      <c r="B997" s="93" t="s">
        <v>129</v>
      </c>
    </row>
    <row r="998" spans="1:2">
      <c r="A998" s="92">
        <f>A997+1</f>
        <v>4</v>
      </c>
      <c r="B998" s="93" t="s">
        <v>213</v>
      </c>
    </row>
    <row r="999" spans="1:2">
      <c r="A999" s="92">
        <f>A998+1</f>
        <v>5</v>
      </c>
      <c r="B999" s="93" t="s">
        <v>214</v>
      </c>
    </row>
    <row r="1000" spans="1:2">
      <c r="A1000" s="92">
        <f>A999+1</f>
        <v>6</v>
      </c>
      <c r="B1000" s="93" t="s">
        <v>215</v>
      </c>
    </row>
    <row r="1001" spans="1:2">
      <c r="A1001" s="92">
        <v>7</v>
      </c>
      <c r="B1001" s="93" t="s">
        <v>216</v>
      </c>
    </row>
    <row r="1002" spans="1:2">
      <c r="A1002" s="92">
        <v>8</v>
      </c>
      <c r="B1002" s="93" t="s">
        <v>217</v>
      </c>
    </row>
    <row r="1003" spans="1:2">
      <c r="A1003" s="92">
        <v>9</v>
      </c>
      <c r="B1003" s="93" t="s">
        <v>218</v>
      </c>
    </row>
    <row r="1004" spans="1:2">
      <c r="A1004" s="92">
        <v>10</v>
      </c>
      <c r="B1004" s="93" t="s">
        <v>219</v>
      </c>
    </row>
    <row r="1005" spans="1:2">
      <c r="A1005" s="92">
        <v>11</v>
      </c>
      <c r="B1005" s="93" t="s">
        <v>130</v>
      </c>
    </row>
    <row r="1006" spans="1:2">
      <c r="A1006" s="92">
        <v>12</v>
      </c>
      <c r="B1006" s="93" t="s">
        <v>220</v>
      </c>
    </row>
    <row r="1007" spans="1:2">
      <c r="A1007" s="92">
        <v>13</v>
      </c>
      <c r="B1007" s="93" t="s">
        <v>221</v>
      </c>
    </row>
    <row r="1008" spans="1:2">
      <c r="A1008" s="66">
        <v>14</v>
      </c>
      <c r="B1008" s="58" t="s">
        <v>222</v>
      </c>
    </row>
  </sheetData>
  <hyperlinks>
    <hyperlink ref="C1" location="Index!A1" display="&lt; Back to Index &gt;" xr:uid="{00000000-0004-0000-0400-000000000000}"/>
    <hyperlink ref="E1" location="'Ave weight 1996-2013'!A1" display="Ave weight 1996-2013" xr:uid="{00000000-0004-0000-0400-000001000000}"/>
  </hyperlink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Y342"/>
  <sheetViews>
    <sheetView zoomScale="85" workbookViewId="0">
      <pane xSplit="4" ySplit="5" topLeftCell="E6" activePane="bottomRight" state="frozen"/>
      <selection pane="topRight"/>
      <selection pane="bottomLeft"/>
      <selection pane="bottomRight" activeCell="F72" sqref="F72"/>
    </sheetView>
  </sheetViews>
  <sheetFormatPr defaultColWidth="9.140625" defaultRowHeight="12.75"/>
  <cols>
    <col min="1" max="1" width="3" style="117" customWidth="1"/>
    <col min="2" max="2" width="14.42578125" style="105" customWidth="1"/>
    <col min="3" max="3" width="18.7109375" style="105" customWidth="1"/>
    <col min="4" max="4" width="10.7109375" style="105" customWidth="1"/>
    <col min="5" max="7" width="16" style="105" customWidth="1"/>
    <col min="8" max="10" width="13.7109375" style="105" customWidth="1"/>
    <col min="11" max="11" width="11.28515625" style="105" customWidth="1"/>
    <col min="12" max="14" width="13.7109375" style="105" customWidth="1"/>
    <col min="15" max="15" width="13.42578125" style="105" customWidth="1"/>
    <col min="16" max="16384" width="9.140625" style="105"/>
  </cols>
  <sheetData>
    <row r="1" spans="2:16">
      <c r="B1" s="187" t="s">
        <v>286</v>
      </c>
      <c r="C1" s="523" t="s">
        <v>304</v>
      </c>
    </row>
    <row r="2" spans="2:16" ht="15">
      <c r="B2" s="102" t="s">
        <v>226</v>
      </c>
      <c r="C2" s="103"/>
      <c r="D2" s="103"/>
      <c r="E2" s="104"/>
      <c r="F2" s="104"/>
      <c r="G2" s="104"/>
      <c r="H2" s="104"/>
      <c r="I2" s="104"/>
      <c r="J2" s="104"/>
      <c r="K2" s="104"/>
      <c r="L2" s="104"/>
    </row>
    <row r="3" spans="2:16">
      <c r="B3" s="103"/>
      <c r="C3" s="103"/>
      <c r="D3" s="103"/>
      <c r="E3" s="104"/>
      <c r="F3" s="104"/>
      <c r="G3" s="104"/>
      <c r="H3" s="104"/>
      <c r="I3" s="104"/>
      <c r="J3" s="104"/>
      <c r="K3" s="104"/>
      <c r="L3" s="104"/>
    </row>
    <row r="4" spans="2:16" ht="57.75" customHeight="1">
      <c r="B4" s="724" t="s">
        <v>165</v>
      </c>
      <c r="C4" s="724" t="s">
        <v>110</v>
      </c>
      <c r="D4" s="724" t="s">
        <v>167</v>
      </c>
      <c r="E4" s="106" t="s">
        <v>168</v>
      </c>
      <c r="F4" s="106" t="s">
        <v>169</v>
      </c>
      <c r="G4" s="106" t="s">
        <v>170</v>
      </c>
      <c r="H4" s="106" t="s">
        <v>171</v>
      </c>
      <c r="I4" s="106" t="s">
        <v>172</v>
      </c>
      <c r="J4" s="106" t="s">
        <v>173</v>
      </c>
      <c r="K4" s="106" t="s">
        <v>174</v>
      </c>
      <c r="L4" s="106" t="s">
        <v>175</v>
      </c>
      <c r="M4" s="106" t="s">
        <v>176</v>
      </c>
      <c r="N4" s="106" t="s">
        <v>177</v>
      </c>
      <c r="O4" s="106" t="s">
        <v>119</v>
      </c>
      <c r="P4" s="105" t="s">
        <v>227</v>
      </c>
    </row>
    <row r="5" spans="2:16" ht="15" customHeight="1">
      <c r="B5" s="725"/>
      <c r="C5" s="725"/>
      <c r="D5" s="725"/>
      <c r="E5" s="726" t="s">
        <v>228</v>
      </c>
      <c r="F5" s="727"/>
      <c r="G5" s="727"/>
      <c r="H5" s="727"/>
      <c r="I5" s="727"/>
      <c r="J5" s="727"/>
      <c r="K5" s="727"/>
      <c r="L5" s="727"/>
      <c r="M5" s="727"/>
      <c r="N5" s="727"/>
    </row>
    <row r="6" spans="2:16">
      <c r="B6" s="728" t="s">
        <v>178</v>
      </c>
      <c r="C6" s="730" t="s">
        <v>112</v>
      </c>
      <c r="D6" s="107">
        <v>2006</v>
      </c>
      <c r="E6" s="108">
        <v>2.1435</v>
      </c>
      <c r="F6" s="109">
        <v>2.4047999999999994</v>
      </c>
      <c r="G6" s="109">
        <v>0</v>
      </c>
      <c r="H6" s="109">
        <v>401.16540000000009</v>
      </c>
      <c r="I6" s="109">
        <v>291.83620000000002</v>
      </c>
      <c r="J6" s="109">
        <v>20626.322299999996</v>
      </c>
      <c r="K6" s="109">
        <v>1117.7124000000001</v>
      </c>
      <c r="L6" s="109">
        <v>4445.6175000000048</v>
      </c>
      <c r="M6" s="109">
        <v>1227.8312999999996</v>
      </c>
      <c r="N6" s="109">
        <v>1216.2427999999998</v>
      </c>
      <c r="O6" s="109">
        <v>29331.276199999924</v>
      </c>
    </row>
    <row r="7" spans="2:16">
      <c r="B7" s="729"/>
      <c r="C7" s="731"/>
      <c r="D7" s="107">
        <v>2007</v>
      </c>
      <c r="E7" s="108">
        <v>1.1432</v>
      </c>
      <c r="F7" s="109">
        <v>0</v>
      </c>
      <c r="G7" s="109">
        <v>0</v>
      </c>
      <c r="H7" s="109">
        <v>393.90440000000001</v>
      </c>
      <c r="I7" s="109">
        <v>176.10620000000003</v>
      </c>
      <c r="J7" s="109">
        <v>21191.632299999997</v>
      </c>
      <c r="K7" s="109">
        <v>1182.1043000000004</v>
      </c>
      <c r="L7" s="109">
        <v>4666.7615000000042</v>
      </c>
      <c r="M7" s="109">
        <v>1193.7041999999997</v>
      </c>
      <c r="N7" s="109">
        <v>1314.3742999999997</v>
      </c>
      <c r="O7" s="109">
        <v>30119.73039999996</v>
      </c>
    </row>
    <row r="8" spans="2:16">
      <c r="B8" s="729"/>
      <c r="C8" s="731"/>
      <c r="D8" s="107">
        <v>2008</v>
      </c>
      <c r="E8" s="108">
        <v>0</v>
      </c>
      <c r="F8" s="109">
        <v>0</v>
      </c>
      <c r="G8" s="109">
        <v>0</v>
      </c>
      <c r="H8" s="109">
        <v>340.27710000000002</v>
      </c>
      <c r="I8" s="109">
        <v>97.860299999999981</v>
      </c>
      <c r="J8" s="109">
        <v>20946.176799999979</v>
      </c>
      <c r="K8" s="109">
        <v>1187.9192000000003</v>
      </c>
      <c r="L8" s="109">
        <v>4886.7862000000032</v>
      </c>
      <c r="M8" s="109">
        <v>1260.4853000000003</v>
      </c>
      <c r="N8" s="109">
        <v>1356.1458000000002</v>
      </c>
      <c r="O8" s="109">
        <v>30075.650699999962</v>
      </c>
    </row>
    <row r="9" spans="2:16">
      <c r="B9" s="729"/>
      <c r="C9" s="731"/>
      <c r="D9" s="107">
        <v>2009</v>
      </c>
      <c r="E9" s="108">
        <v>0</v>
      </c>
      <c r="F9" s="109">
        <v>0</v>
      </c>
      <c r="G9" s="109">
        <v>0</v>
      </c>
      <c r="H9" s="109">
        <v>368.55529999999999</v>
      </c>
      <c r="I9" s="109">
        <v>49.459299999999985</v>
      </c>
      <c r="J9" s="109">
        <v>21687.334799999975</v>
      </c>
      <c r="K9" s="109">
        <v>1396.3667999999998</v>
      </c>
      <c r="L9" s="109">
        <v>5065.0262000000093</v>
      </c>
      <c r="M9" s="109">
        <v>1574.777</v>
      </c>
      <c r="N9" s="109">
        <v>1439.1974000000002</v>
      </c>
      <c r="O9" s="109">
        <v>31580.716799999955</v>
      </c>
    </row>
    <row r="10" spans="2:16">
      <c r="B10" s="729"/>
      <c r="C10" s="731"/>
      <c r="D10" s="107">
        <v>2010</v>
      </c>
      <c r="E10" s="108">
        <v>0</v>
      </c>
      <c r="F10" s="109">
        <v>0</v>
      </c>
      <c r="G10" s="109">
        <v>0</v>
      </c>
      <c r="H10" s="109">
        <v>349.22730000000007</v>
      </c>
      <c r="I10" s="109">
        <v>57.666800000000002</v>
      </c>
      <c r="J10" s="109">
        <v>22277.205199999968</v>
      </c>
      <c r="K10" s="109">
        <v>1301.5897999999997</v>
      </c>
      <c r="L10" s="109">
        <v>5359.836300000009</v>
      </c>
      <c r="M10" s="109">
        <v>1675.0393999999999</v>
      </c>
      <c r="N10" s="109">
        <v>1524.1056000000001</v>
      </c>
      <c r="O10" s="109">
        <v>32544.670399999948</v>
      </c>
    </row>
    <row r="11" spans="2:16">
      <c r="B11" s="729"/>
      <c r="C11" s="731"/>
      <c r="D11" s="107">
        <v>2011</v>
      </c>
      <c r="E11" s="108">
        <v>0</v>
      </c>
      <c r="F11" s="109">
        <v>0</v>
      </c>
      <c r="G11" s="109">
        <v>0</v>
      </c>
      <c r="H11" s="109">
        <v>377.12379999999996</v>
      </c>
      <c r="I11" s="109">
        <v>34</v>
      </c>
      <c r="J11" s="109">
        <v>22293.988199999963</v>
      </c>
      <c r="K11" s="109">
        <v>1032.2898000000002</v>
      </c>
      <c r="L11" s="109">
        <v>5070.4955000000009</v>
      </c>
      <c r="M11" s="109">
        <v>1726.8222000000001</v>
      </c>
      <c r="N11" s="109">
        <v>1587.1396999999997</v>
      </c>
      <c r="O11" s="109">
        <v>32121.859199999923</v>
      </c>
    </row>
    <row r="12" spans="2:16">
      <c r="B12" s="729"/>
      <c r="C12" s="731"/>
      <c r="D12" s="107">
        <v>2012</v>
      </c>
      <c r="E12" s="108">
        <v>0</v>
      </c>
      <c r="F12" s="109">
        <v>0</v>
      </c>
      <c r="G12" s="109">
        <v>0</v>
      </c>
      <c r="H12" s="109">
        <v>411.86160000000007</v>
      </c>
      <c r="I12" s="109">
        <v>25.625</v>
      </c>
      <c r="J12" s="109">
        <v>22353.260099999967</v>
      </c>
      <c r="K12" s="109">
        <v>965.14380000000028</v>
      </c>
      <c r="L12" s="109">
        <v>5394.1915000000063</v>
      </c>
      <c r="M12" s="109">
        <v>1739.5087000000001</v>
      </c>
      <c r="N12" s="109">
        <v>1712.1895</v>
      </c>
      <c r="O12" s="109">
        <v>32601.78019999995</v>
      </c>
    </row>
    <row r="13" spans="2:16">
      <c r="B13" s="729"/>
      <c r="C13" s="732"/>
      <c r="D13" s="111">
        <v>2013</v>
      </c>
      <c r="E13" s="112">
        <v>0</v>
      </c>
      <c r="F13" s="113">
        <v>0</v>
      </c>
      <c r="G13" s="113">
        <v>0</v>
      </c>
      <c r="H13" s="113">
        <v>457.33530000000002</v>
      </c>
      <c r="I13" s="113">
        <v>19.375</v>
      </c>
      <c r="J13" s="113">
        <v>22518.798199999983</v>
      </c>
      <c r="K13" s="113">
        <v>887.68590000000017</v>
      </c>
      <c r="L13" s="113">
        <v>5573.1367000000082</v>
      </c>
      <c r="M13" s="113">
        <v>1777.6215999999999</v>
      </c>
      <c r="N13" s="113">
        <v>1794.2705000000003</v>
      </c>
      <c r="O13" s="113">
        <v>33028.2232</v>
      </c>
      <c r="P13" s="114">
        <f>SUM(O13-O12)</f>
        <v>426.44300000005023</v>
      </c>
    </row>
    <row r="14" spans="2:16">
      <c r="B14" s="729"/>
      <c r="C14" s="730" t="s">
        <v>120</v>
      </c>
      <c r="D14" s="107">
        <v>2006</v>
      </c>
      <c r="E14" s="108">
        <v>0</v>
      </c>
      <c r="F14" s="109">
        <v>0</v>
      </c>
      <c r="G14" s="109">
        <v>175.74000000000012</v>
      </c>
      <c r="H14" s="109">
        <v>191.5</v>
      </c>
      <c r="I14" s="109">
        <v>6.5213999999999999</v>
      </c>
      <c r="J14" s="109">
        <v>7458.236699999964</v>
      </c>
      <c r="K14" s="109">
        <v>360.83600000000001</v>
      </c>
      <c r="L14" s="109">
        <v>722.74009999999998</v>
      </c>
      <c r="M14" s="109">
        <v>500.91680000000002</v>
      </c>
      <c r="N14" s="109">
        <v>347.64529999999996</v>
      </c>
      <c r="O14" s="109">
        <v>9764.1362999999619</v>
      </c>
    </row>
    <row r="15" spans="2:16">
      <c r="B15" s="729"/>
      <c r="C15" s="731" t="s">
        <v>120</v>
      </c>
      <c r="D15" s="107">
        <v>2007</v>
      </c>
      <c r="E15" s="108">
        <v>0</v>
      </c>
      <c r="F15" s="109">
        <v>0</v>
      </c>
      <c r="G15" s="109">
        <v>237.82000000000005</v>
      </c>
      <c r="H15" s="109">
        <v>203.16669999999996</v>
      </c>
      <c r="I15" s="109">
        <v>25.128700000000006</v>
      </c>
      <c r="J15" s="109">
        <v>6951.0387999999639</v>
      </c>
      <c r="K15" s="109">
        <v>317.01229999999993</v>
      </c>
      <c r="L15" s="109">
        <v>761.55920000000015</v>
      </c>
      <c r="M15" s="109">
        <v>448.79599999999994</v>
      </c>
      <c r="N15" s="109">
        <v>380.53049999999996</v>
      </c>
      <c r="O15" s="109">
        <v>9325.0521999999419</v>
      </c>
    </row>
    <row r="16" spans="2:16">
      <c r="B16" s="729"/>
      <c r="C16" s="731" t="s">
        <v>120</v>
      </c>
      <c r="D16" s="107">
        <v>2008</v>
      </c>
      <c r="E16" s="108">
        <v>0</v>
      </c>
      <c r="F16" s="109">
        <v>0</v>
      </c>
      <c r="G16" s="109">
        <v>381.29500000000007</v>
      </c>
      <c r="H16" s="109">
        <v>166.1234</v>
      </c>
      <c r="I16" s="109">
        <v>54.8001</v>
      </c>
      <c r="J16" s="109">
        <v>6702.6676999999645</v>
      </c>
      <c r="K16" s="109">
        <v>414.65410000000008</v>
      </c>
      <c r="L16" s="109">
        <v>764.47410000000013</v>
      </c>
      <c r="M16" s="109">
        <v>440.69139999999999</v>
      </c>
      <c r="N16" s="109">
        <v>395.14429999999999</v>
      </c>
      <c r="O16" s="109">
        <v>9319.8500999999505</v>
      </c>
    </row>
    <row r="17" spans="2:16">
      <c r="B17" s="729"/>
      <c r="C17" s="731" t="s">
        <v>120</v>
      </c>
      <c r="D17" s="107">
        <v>2009</v>
      </c>
      <c r="E17" s="108">
        <v>0</v>
      </c>
      <c r="F17" s="109">
        <v>0</v>
      </c>
      <c r="G17" s="109">
        <v>386.35499999999996</v>
      </c>
      <c r="H17" s="109">
        <v>303.26400000000001</v>
      </c>
      <c r="I17" s="109">
        <v>68.010599999999982</v>
      </c>
      <c r="J17" s="109">
        <v>7155.3635999999515</v>
      </c>
      <c r="K17" s="109">
        <v>575.60590000000013</v>
      </c>
      <c r="L17" s="109">
        <v>816.43570000000011</v>
      </c>
      <c r="M17" s="109">
        <v>509.77909999999986</v>
      </c>
      <c r="N17" s="109">
        <v>415.29339999999996</v>
      </c>
      <c r="O17" s="109">
        <v>10230.107299999938</v>
      </c>
    </row>
    <row r="18" spans="2:16">
      <c r="B18" s="729"/>
      <c r="C18" s="731" t="s">
        <v>120</v>
      </c>
      <c r="D18" s="107">
        <v>2010</v>
      </c>
      <c r="E18" s="108">
        <v>0</v>
      </c>
      <c r="F18" s="109">
        <v>0</v>
      </c>
      <c r="G18" s="109">
        <v>269.09999999999991</v>
      </c>
      <c r="H18" s="109">
        <v>124.3112</v>
      </c>
      <c r="I18" s="109">
        <v>82.139099999999999</v>
      </c>
      <c r="J18" s="109">
        <v>7140.901699999964</v>
      </c>
      <c r="K18" s="109">
        <v>598.29910000000041</v>
      </c>
      <c r="L18" s="109">
        <v>822.1357999999999</v>
      </c>
      <c r="M18" s="109">
        <v>561.95240000000013</v>
      </c>
      <c r="N18" s="109">
        <v>472.74669999999998</v>
      </c>
      <c r="O18" s="109">
        <v>10071.585999999939</v>
      </c>
    </row>
    <row r="19" spans="2:16">
      <c r="B19" s="729"/>
      <c r="C19" s="731" t="s">
        <v>120</v>
      </c>
      <c r="D19" s="107">
        <v>2011</v>
      </c>
      <c r="E19" s="108">
        <v>0</v>
      </c>
      <c r="F19" s="109">
        <v>0</v>
      </c>
      <c r="G19" s="109">
        <v>219.14999999999998</v>
      </c>
      <c r="H19" s="109">
        <v>85.312599999999989</v>
      </c>
      <c r="I19" s="109">
        <v>75.514099999999999</v>
      </c>
      <c r="J19" s="109">
        <v>7276.6993999999613</v>
      </c>
      <c r="K19" s="109">
        <v>580.70060000000012</v>
      </c>
      <c r="L19" s="109">
        <v>812.29410000000007</v>
      </c>
      <c r="M19" s="109">
        <v>566.36090000000002</v>
      </c>
      <c r="N19" s="109">
        <v>488.17140000000001</v>
      </c>
      <c r="O19" s="109">
        <v>10104.203099999939</v>
      </c>
    </row>
    <row r="20" spans="2:16">
      <c r="B20" s="729"/>
      <c r="C20" s="731" t="s">
        <v>120</v>
      </c>
      <c r="D20" s="107">
        <v>2012</v>
      </c>
      <c r="E20" s="108">
        <v>0</v>
      </c>
      <c r="F20" s="109">
        <v>0</v>
      </c>
      <c r="G20" s="109">
        <v>208.43999999999997</v>
      </c>
      <c r="H20" s="109">
        <v>72.375399999999999</v>
      </c>
      <c r="I20" s="109">
        <v>78.932900000000018</v>
      </c>
      <c r="J20" s="109">
        <v>7451.9300999999505</v>
      </c>
      <c r="K20" s="109">
        <v>557.51720000000012</v>
      </c>
      <c r="L20" s="109">
        <v>762.27509999999995</v>
      </c>
      <c r="M20" s="109">
        <v>548.73429999999996</v>
      </c>
      <c r="N20" s="109">
        <v>484.72150000000011</v>
      </c>
      <c r="O20" s="109">
        <v>10164.926499999938</v>
      </c>
    </row>
    <row r="21" spans="2:16">
      <c r="B21" s="729"/>
      <c r="C21" s="732" t="s">
        <v>120</v>
      </c>
      <c r="D21" s="115">
        <v>2013</v>
      </c>
      <c r="E21" s="112">
        <v>0</v>
      </c>
      <c r="F21" s="113">
        <v>0</v>
      </c>
      <c r="G21" s="113">
        <v>183.24</v>
      </c>
      <c r="H21" s="113">
        <v>74.309399999999997</v>
      </c>
      <c r="I21" s="113">
        <v>81.223799999999983</v>
      </c>
      <c r="J21" s="113">
        <v>7159.5257999999512</v>
      </c>
      <c r="K21" s="113">
        <v>449.66110000000009</v>
      </c>
      <c r="L21" s="113">
        <v>1017.1646000000002</v>
      </c>
      <c r="M21" s="113">
        <v>674.26469999999983</v>
      </c>
      <c r="N21" s="113">
        <v>454.31189999999992</v>
      </c>
      <c r="O21" s="113">
        <v>10093.701299999901</v>
      </c>
      <c r="P21" s="114">
        <f>SUM(O21-O20)</f>
        <v>-71.225200000037148</v>
      </c>
    </row>
    <row r="22" spans="2:16">
      <c r="B22" s="729"/>
      <c r="C22" s="730" t="s">
        <v>121</v>
      </c>
      <c r="D22" s="107">
        <v>2006</v>
      </c>
      <c r="E22" s="108">
        <v>0</v>
      </c>
      <c r="F22" s="109">
        <v>0</v>
      </c>
      <c r="G22" s="109">
        <v>8.9999999999999982</v>
      </c>
      <c r="H22" s="109">
        <v>379.36180000000007</v>
      </c>
      <c r="I22" s="109">
        <v>739.19979999999998</v>
      </c>
      <c r="J22" s="109">
        <v>13432.510399999986</v>
      </c>
      <c r="K22" s="109">
        <v>1201.4020999999998</v>
      </c>
      <c r="L22" s="109">
        <v>2201.5185000000001</v>
      </c>
      <c r="M22" s="109">
        <v>1138.6374000000001</v>
      </c>
      <c r="N22" s="109">
        <v>785.53160000000014</v>
      </c>
      <c r="O22" s="109">
        <v>19887.161599999996</v>
      </c>
    </row>
    <row r="23" spans="2:16">
      <c r="B23" s="729"/>
      <c r="C23" s="731" t="s">
        <v>121</v>
      </c>
      <c r="D23" s="107">
        <v>2007</v>
      </c>
      <c r="E23" s="108">
        <v>0</v>
      </c>
      <c r="F23" s="109">
        <v>0</v>
      </c>
      <c r="G23" s="109">
        <v>7.9999999999999991</v>
      </c>
      <c r="H23" s="109">
        <v>315.03410000000008</v>
      </c>
      <c r="I23" s="109">
        <v>623.95409999999993</v>
      </c>
      <c r="J23" s="109">
        <v>12888.16159999999</v>
      </c>
      <c r="K23" s="109">
        <v>1141.2176999999999</v>
      </c>
      <c r="L23" s="109">
        <v>2094.6986000000002</v>
      </c>
      <c r="M23" s="109">
        <v>1077.3081000000002</v>
      </c>
      <c r="N23" s="109">
        <v>948.2258999999998</v>
      </c>
      <c r="O23" s="109">
        <v>19096.600099999996</v>
      </c>
    </row>
    <row r="24" spans="2:16">
      <c r="B24" s="729"/>
      <c r="C24" s="731" t="s">
        <v>121</v>
      </c>
      <c r="D24" s="107">
        <v>2008</v>
      </c>
      <c r="E24" s="108">
        <v>0</v>
      </c>
      <c r="F24" s="109">
        <v>0</v>
      </c>
      <c r="G24" s="109">
        <v>0</v>
      </c>
      <c r="H24" s="109">
        <v>292.89410000000004</v>
      </c>
      <c r="I24" s="109">
        <v>597.67380000000037</v>
      </c>
      <c r="J24" s="109">
        <v>12285.033199999983</v>
      </c>
      <c r="K24" s="109">
        <v>1092.165</v>
      </c>
      <c r="L24" s="109">
        <v>2074.2591999999995</v>
      </c>
      <c r="M24" s="109">
        <v>1075.1820999999998</v>
      </c>
      <c r="N24" s="109">
        <v>1034.0991000000001</v>
      </c>
      <c r="O24" s="109">
        <v>18451.306499999981</v>
      </c>
    </row>
    <row r="25" spans="2:16">
      <c r="B25" s="729"/>
      <c r="C25" s="731" t="s">
        <v>121</v>
      </c>
      <c r="D25" s="107">
        <v>2009</v>
      </c>
      <c r="E25" s="108">
        <v>0</v>
      </c>
      <c r="F25" s="109">
        <v>0</v>
      </c>
      <c r="G25" s="109">
        <v>0</v>
      </c>
      <c r="H25" s="109">
        <v>580.93650000000014</v>
      </c>
      <c r="I25" s="109">
        <v>688.65429999999992</v>
      </c>
      <c r="J25" s="109">
        <v>11565.158299999997</v>
      </c>
      <c r="K25" s="109">
        <v>1249.4037999999996</v>
      </c>
      <c r="L25" s="109">
        <v>3513.9032999999995</v>
      </c>
      <c r="M25" s="109">
        <v>1026.2519000000002</v>
      </c>
      <c r="N25" s="109">
        <v>1171.3730999999991</v>
      </c>
      <c r="O25" s="109">
        <v>19795.681199999988</v>
      </c>
    </row>
    <row r="26" spans="2:16">
      <c r="B26" s="729"/>
      <c r="C26" s="731" t="s">
        <v>121</v>
      </c>
      <c r="D26" s="107">
        <v>2010</v>
      </c>
      <c r="E26" s="108">
        <v>0</v>
      </c>
      <c r="F26" s="109">
        <v>0</v>
      </c>
      <c r="G26" s="109">
        <v>0</v>
      </c>
      <c r="H26" s="109">
        <v>597.03520000000015</v>
      </c>
      <c r="I26" s="109">
        <v>645.6733999999999</v>
      </c>
      <c r="J26" s="109">
        <v>11316.437900000019</v>
      </c>
      <c r="K26" s="109">
        <v>1296.0271999999998</v>
      </c>
      <c r="L26" s="109">
        <v>3833.3600000000006</v>
      </c>
      <c r="M26" s="109">
        <v>1115.7513000000001</v>
      </c>
      <c r="N26" s="109">
        <v>1128.4992000000013</v>
      </c>
      <c r="O26" s="109">
        <v>19932.784200000016</v>
      </c>
    </row>
    <row r="27" spans="2:16">
      <c r="B27" s="729"/>
      <c r="C27" s="731" t="s">
        <v>121</v>
      </c>
      <c r="D27" s="107">
        <v>2011</v>
      </c>
      <c r="E27" s="108">
        <v>0</v>
      </c>
      <c r="F27" s="109">
        <v>0</v>
      </c>
      <c r="G27" s="109">
        <v>0</v>
      </c>
      <c r="H27" s="109">
        <v>347.90590000000032</v>
      </c>
      <c r="I27" s="109">
        <v>627.57849999999985</v>
      </c>
      <c r="J27" s="109">
        <v>11288.54279999997</v>
      </c>
      <c r="K27" s="109">
        <v>1064.3086000000001</v>
      </c>
      <c r="L27" s="109">
        <v>3616.0255999999999</v>
      </c>
      <c r="M27" s="109">
        <v>1071.1362000000008</v>
      </c>
      <c r="N27" s="109">
        <v>1222.1313999999998</v>
      </c>
      <c r="O27" s="109">
        <v>19237.628999999964</v>
      </c>
    </row>
    <row r="28" spans="2:16">
      <c r="B28" s="729"/>
      <c r="C28" s="731" t="s">
        <v>121</v>
      </c>
      <c r="D28" s="107">
        <v>2012</v>
      </c>
      <c r="E28" s="108">
        <v>0</v>
      </c>
      <c r="F28" s="109">
        <v>0</v>
      </c>
      <c r="G28" s="109">
        <v>0</v>
      </c>
      <c r="H28" s="109">
        <v>380.67880000000008</v>
      </c>
      <c r="I28" s="109">
        <v>648.09659999999997</v>
      </c>
      <c r="J28" s="109">
        <v>11653.16339999999</v>
      </c>
      <c r="K28" s="109">
        <v>993.16189999999995</v>
      </c>
      <c r="L28" s="109">
        <v>3490.8351999999995</v>
      </c>
      <c r="M28" s="109">
        <v>1355.5060000000003</v>
      </c>
      <c r="N28" s="109">
        <v>1156.7569000000003</v>
      </c>
      <c r="O28" s="109">
        <v>19678.198799999984</v>
      </c>
    </row>
    <row r="29" spans="2:16">
      <c r="B29" s="729"/>
      <c r="C29" s="732" t="s">
        <v>121</v>
      </c>
      <c r="D29" s="115">
        <v>2013</v>
      </c>
      <c r="E29" s="112">
        <v>0</v>
      </c>
      <c r="F29" s="113">
        <v>0</v>
      </c>
      <c r="G29" s="113">
        <v>0</v>
      </c>
      <c r="H29" s="113">
        <v>321.89720000000005</v>
      </c>
      <c r="I29" s="113">
        <v>645.79460000000017</v>
      </c>
      <c r="J29" s="113">
        <v>11206.386199999999</v>
      </c>
      <c r="K29" s="113">
        <v>893.3017000000001</v>
      </c>
      <c r="L29" s="113">
        <v>3354.0153</v>
      </c>
      <c r="M29" s="113">
        <v>1468.829</v>
      </c>
      <c r="N29" s="113">
        <v>1183.6682000000001</v>
      </c>
      <c r="O29" s="113">
        <v>19073.892199999998</v>
      </c>
      <c r="P29" s="114">
        <f>SUM(O29-O28)</f>
        <v>-604.30659999998534</v>
      </c>
    </row>
    <row r="30" spans="2:16">
      <c r="B30" s="729"/>
      <c r="C30" s="730" t="s">
        <v>122</v>
      </c>
      <c r="D30" s="107">
        <v>2006</v>
      </c>
      <c r="E30" s="108">
        <v>0</v>
      </c>
      <c r="F30" s="109">
        <v>0</v>
      </c>
      <c r="G30" s="109">
        <v>17.002000000000002</v>
      </c>
      <c r="H30" s="109">
        <v>424.19479999999993</v>
      </c>
      <c r="I30" s="109">
        <v>327.12080000000009</v>
      </c>
      <c r="J30" s="109">
        <v>12928.589800000003</v>
      </c>
      <c r="K30" s="109">
        <v>774.4996000000001</v>
      </c>
      <c r="L30" s="109">
        <v>721.80659999999989</v>
      </c>
      <c r="M30" s="109">
        <v>1228.3785999999998</v>
      </c>
      <c r="N30" s="109">
        <v>491.02499999999998</v>
      </c>
      <c r="O30" s="109">
        <v>16912.617200000022</v>
      </c>
    </row>
    <row r="31" spans="2:16">
      <c r="B31" s="729"/>
      <c r="C31" s="731" t="s">
        <v>122</v>
      </c>
      <c r="D31" s="107">
        <v>2007</v>
      </c>
      <c r="E31" s="108">
        <v>0</v>
      </c>
      <c r="F31" s="109">
        <v>0</v>
      </c>
      <c r="G31" s="109">
        <v>0</v>
      </c>
      <c r="H31" s="109">
        <v>437.32840000000004</v>
      </c>
      <c r="I31" s="109">
        <v>282.19379999999956</v>
      </c>
      <c r="J31" s="109">
        <v>13211.876800000031</v>
      </c>
      <c r="K31" s="109">
        <v>865.30370000000005</v>
      </c>
      <c r="L31" s="109">
        <v>748.13349999999991</v>
      </c>
      <c r="M31" s="109">
        <v>1310.4089000000004</v>
      </c>
      <c r="N31" s="109">
        <v>639.46330000000012</v>
      </c>
      <c r="O31" s="109">
        <v>17494.708400000025</v>
      </c>
    </row>
    <row r="32" spans="2:16">
      <c r="B32" s="729"/>
      <c r="C32" s="731" t="s">
        <v>122</v>
      </c>
      <c r="D32" s="107">
        <v>2008</v>
      </c>
      <c r="E32" s="108">
        <v>0</v>
      </c>
      <c r="F32" s="109">
        <v>0</v>
      </c>
      <c r="G32" s="109">
        <v>0</v>
      </c>
      <c r="H32" s="109">
        <v>424.87579999999991</v>
      </c>
      <c r="I32" s="109">
        <v>273.74199999999956</v>
      </c>
      <c r="J32" s="109">
        <v>12948.661900000003</v>
      </c>
      <c r="K32" s="109">
        <v>716.05589999999984</v>
      </c>
      <c r="L32" s="109">
        <v>682.00310000000002</v>
      </c>
      <c r="M32" s="109">
        <v>1225.9191000000003</v>
      </c>
      <c r="N32" s="109">
        <v>720.55500000000018</v>
      </c>
      <c r="O32" s="109">
        <v>16991.812800000029</v>
      </c>
    </row>
    <row r="33" spans="2:16">
      <c r="B33" s="729"/>
      <c r="C33" s="731" t="s">
        <v>122</v>
      </c>
      <c r="D33" s="107">
        <v>2009</v>
      </c>
      <c r="E33" s="108">
        <v>0</v>
      </c>
      <c r="F33" s="109">
        <v>0</v>
      </c>
      <c r="G33" s="109">
        <v>0</v>
      </c>
      <c r="H33" s="109">
        <v>494.28329999999988</v>
      </c>
      <c r="I33" s="109">
        <v>274.59249999999975</v>
      </c>
      <c r="J33" s="109">
        <v>13415.519300000013</v>
      </c>
      <c r="K33" s="109">
        <v>776.00090000000012</v>
      </c>
      <c r="L33" s="109">
        <v>786.52649999999983</v>
      </c>
      <c r="M33" s="109">
        <v>1198.4032000000004</v>
      </c>
      <c r="N33" s="109">
        <v>811.596</v>
      </c>
      <c r="O33" s="109">
        <v>17756.921700000024</v>
      </c>
    </row>
    <row r="34" spans="2:16">
      <c r="B34" s="729"/>
      <c r="C34" s="731" t="s">
        <v>122</v>
      </c>
      <c r="D34" s="107">
        <v>2010</v>
      </c>
      <c r="E34" s="108">
        <v>0</v>
      </c>
      <c r="F34" s="109">
        <v>0</v>
      </c>
      <c r="G34" s="109">
        <v>0</v>
      </c>
      <c r="H34" s="109">
        <v>434.80540000000008</v>
      </c>
      <c r="I34" s="109">
        <v>249.6174000000006</v>
      </c>
      <c r="J34" s="109">
        <v>13548.032599999939</v>
      </c>
      <c r="K34" s="109">
        <v>812.89539999999988</v>
      </c>
      <c r="L34" s="109">
        <v>805.4310999999999</v>
      </c>
      <c r="M34" s="109">
        <v>1118.1579999999999</v>
      </c>
      <c r="N34" s="109">
        <v>767.92609999999991</v>
      </c>
      <c r="O34" s="109">
        <v>17736.865999999951</v>
      </c>
    </row>
    <row r="35" spans="2:16">
      <c r="B35" s="729"/>
      <c r="C35" s="731" t="s">
        <v>122</v>
      </c>
      <c r="D35" s="107">
        <v>2011</v>
      </c>
      <c r="E35" s="108">
        <v>0</v>
      </c>
      <c r="F35" s="109">
        <v>0</v>
      </c>
      <c r="G35" s="109">
        <v>0</v>
      </c>
      <c r="H35" s="109">
        <v>388.09530000000024</v>
      </c>
      <c r="I35" s="109">
        <v>222.33850000000035</v>
      </c>
      <c r="J35" s="109">
        <v>13276.03399999992</v>
      </c>
      <c r="K35" s="109">
        <v>763.23429999999985</v>
      </c>
      <c r="L35" s="109">
        <v>779.79979999999989</v>
      </c>
      <c r="M35" s="109">
        <v>1175.8922000000002</v>
      </c>
      <c r="N35" s="109">
        <v>768.38589999999988</v>
      </c>
      <c r="O35" s="109">
        <v>17373.779999999912</v>
      </c>
    </row>
    <row r="36" spans="2:16">
      <c r="B36" s="729"/>
      <c r="C36" s="731" t="s">
        <v>122</v>
      </c>
      <c r="D36" s="107">
        <v>2012</v>
      </c>
      <c r="E36" s="108">
        <v>0</v>
      </c>
      <c r="F36" s="109">
        <v>0</v>
      </c>
      <c r="G36" s="109">
        <v>0</v>
      </c>
      <c r="H36" s="109">
        <v>378.63850000000008</v>
      </c>
      <c r="I36" s="109">
        <v>52.901600000000002</v>
      </c>
      <c r="J36" s="109">
        <v>13345.26519999992</v>
      </c>
      <c r="K36" s="109">
        <v>768.56560000000047</v>
      </c>
      <c r="L36" s="109">
        <v>769.41789999999992</v>
      </c>
      <c r="M36" s="109">
        <v>1167.8806</v>
      </c>
      <c r="N36" s="109">
        <v>738.93419999999992</v>
      </c>
      <c r="O36" s="109">
        <v>17221.603599999922</v>
      </c>
    </row>
    <row r="37" spans="2:16">
      <c r="B37" s="729"/>
      <c r="C37" s="732" t="s">
        <v>122</v>
      </c>
      <c r="D37" s="115">
        <v>2013</v>
      </c>
      <c r="E37" s="112">
        <v>0</v>
      </c>
      <c r="F37" s="113">
        <v>0</v>
      </c>
      <c r="G37" s="113">
        <v>0</v>
      </c>
      <c r="H37" s="113">
        <v>323.10410000000007</v>
      </c>
      <c r="I37" s="113">
        <v>45.493000000000002</v>
      </c>
      <c r="J37" s="113">
        <v>13112.26699999992</v>
      </c>
      <c r="K37" s="113">
        <v>689.93700000000001</v>
      </c>
      <c r="L37" s="113">
        <v>1167.3802999999996</v>
      </c>
      <c r="M37" s="113">
        <v>1198.1442999999999</v>
      </c>
      <c r="N37" s="113">
        <v>740.38189999999986</v>
      </c>
      <c r="O37" s="113">
        <v>17276.7075999999</v>
      </c>
    </row>
    <row r="38" spans="2:16">
      <c r="B38" s="729"/>
      <c r="C38" s="730" t="s">
        <v>123</v>
      </c>
      <c r="D38" s="107">
        <v>2006</v>
      </c>
      <c r="E38" s="108">
        <v>0</v>
      </c>
      <c r="F38" s="109">
        <v>0</v>
      </c>
      <c r="G38" s="109">
        <v>0</v>
      </c>
      <c r="H38" s="109">
        <v>239.0883</v>
      </c>
      <c r="I38" s="109">
        <v>10.074400000000002</v>
      </c>
      <c r="J38" s="109">
        <v>7935.2482999999984</v>
      </c>
      <c r="K38" s="109">
        <v>123.9842</v>
      </c>
      <c r="L38" s="109">
        <v>2409.3234999999981</v>
      </c>
      <c r="M38" s="109">
        <v>674.10859999999991</v>
      </c>
      <c r="N38" s="109">
        <v>527.84569999999997</v>
      </c>
      <c r="O38" s="109">
        <v>11919.672999999988</v>
      </c>
    </row>
    <row r="39" spans="2:16">
      <c r="B39" s="729"/>
      <c r="C39" s="731" t="s">
        <v>123</v>
      </c>
      <c r="D39" s="107">
        <v>2007</v>
      </c>
      <c r="E39" s="108">
        <v>0</v>
      </c>
      <c r="F39" s="109">
        <v>0</v>
      </c>
      <c r="G39" s="109">
        <v>0</v>
      </c>
      <c r="H39" s="109">
        <v>272.00930000000005</v>
      </c>
      <c r="I39" s="109">
        <v>366.73699999999991</v>
      </c>
      <c r="J39" s="109">
        <v>9232.6444999999876</v>
      </c>
      <c r="K39" s="109">
        <v>649.19110000000001</v>
      </c>
      <c r="L39" s="109">
        <v>2614.8518999999974</v>
      </c>
      <c r="M39" s="109">
        <v>715.67460000000017</v>
      </c>
      <c r="N39" s="109">
        <v>543.31439999999998</v>
      </c>
      <c r="O39" s="109">
        <v>14394.4228</v>
      </c>
    </row>
    <row r="40" spans="2:16">
      <c r="B40" s="729"/>
      <c r="C40" s="731" t="s">
        <v>123</v>
      </c>
      <c r="D40" s="107">
        <v>2008</v>
      </c>
      <c r="E40" s="108">
        <v>0</v>
      </c>
      <c r="F40" s="109">
        <v>0</v>
      </c>
      <c r="G40" s="109">
        <v>0</v>
      </c>
      <c r="H40" s="109">
        <v>339.94860000000006</v>
      </c>
      <c r="I40" s="109">
        <v>329.44039999999995</v>
      </c>
      <c r="J40" s="109">
        <v>9347.2985999999764</v>
      </c>
      <c r="K40" s="109">
        <v>604.03910000000008</v>
      </c>
      <c r="L40" s="109">
        <v>2574.6469999999995</v>
      </c>
      <c r="M40" s="109">
        <v>672.19009999999992</v>
      </c>
      <c r="N40" s="109">
        <v>568.80589999999984</v>
      </c>
      <c r="O40" s="109">
        <v>14436.369699999985</v>
      </c>
    </row>
    <row r="41" spans="2:16">
      <c r="B41" s="729"/>
      <c r="C41" s="731" t="s">
        <v>123</v>
      </c>
      <c r="D41" s="107">
        <v>2009</v>
      </c>
      <c r="E41" s="108">
        <v>0</v>
      </c>
      <c r="F41" s="109">
        <v>0</v>
      </c>
      <c r="G41" s="109">
        <v>0</v>
      </c>
      <c r="H41" s="109">
        <v>472.69470000000001</v>
      </c>
      <c r="I41" s="109">
        <v>305.68179999999995</v>
      </c>
      <c r="J41" s="109">
        <v>9796.5106999999753</v>
      </c>
      <c r="K41" s="109">
        <v>650.42679999999984</v>
      </c>
      <c r="L41" s="109">
        <v>2773.8800000000006</v>
      </c>
      <c r="M41" s="109">
        <v>664.90839999999992</v>
      </c>
      <c r="N41" s="109">
        <v>625.9292999999999</v>
      </c>
      <c r="O41" s="109">
        <v>15290.031699999983</v>
      </c>
    </row>
    <row r="42" spans="2:16">
      <c r="B42" s="729"/>
      <c r="C42" s="731" t="s">
        <v>123</v>
      </c>
      <c r="D42" s="107">
        <v>2010</v>
      </c>
      <c r="E42" s="108">
        <v>0</v>
      </c>
      <c r="F42" s="109">
        <v>0</v>
      </c>
      <c r="G42" s="109">
        <v>0</v>
      </c>
      <c r="H42" s="109">
        <v>357.21080000000006</v>
      </c>
      <c r="I42" s="109">
        <v>267.78929999999986</v>
      </c>
      <c r="J42" s="109">
        <v>9901.6815999999944</v>
      </c>
      <c r="K42" s="109">
        <v>586.34940000000017</v>
      </c>
      <c r="L42" s="109">
        <v>2875.3541000000005</v>
      </c>
      <c r="M42" s="109">
        <v>750.18060000000014</v>
      </c>
      <c r="N42" s="109">
        <v>684.77740000000017</v>
      </c>
      <c r="O42" s="109">
        <v>15423.343199999999</v>
      </c>
    </row>
    <row r="43" spans="2:16">
      <c r="B43" s="729"/>
      <c r="C43" s="731" t="s">
        <v>123</v>
      </c>
      <c r="D43" s="107">
        <v>2011</v>
      </c>
      <c r="E43" s="108">
        <v>0</v>
      </c>
      <c r="F43" s="109">
        <v>0</v>
      </c>
      <c r="G43" s="109">
        <v>0</v>
      </c>
      <c r="H43" s="109">
        <v>240.59939999999995</v>
      </c>
      <c r="I43" s="109">
        <v>174.64850000000004</v>
      </c>
      <c r="J43" s="109">
        <v>8346.3324000000011</v>
      </c>
      <c r="K43" s="109">
        <v>468.01640000000015</v>
      </c>
      <c r="L43" s="109">
        <v>2815.5944999999974</v>
      </c>
      <c r="M43" s="109">
        <v>740.23799999999983</v>
      </c>
      <c r="N43" s="109">
        <v>701.24079999999992</v>
      </c>
      <c r="O43" s="109">
        <v>13486.670000000004</v>
      </c>
    </row>
    <row r="44" spans="2:16">
      <c r="B44" s="729"/>
      <c r="C44" s="731" t="s">
        <v>123</v>
      </c>
      <c r="D44" s="107">
        <v>2012</v>
      </c>
      <c r="E44" s="108">
        <v>0</v>
      </c>
      <c r="F44" s="109">
        <v>0</v>
      </c>
      <c r="G44" s="109">
        <v>0</v>
      </c>
      <c r="H44" s="109">
        <v>213.63120000000001</v>
      </c>
      <c r="I44" s="109">
        <v>112.06730000000002</v>
      </c>
      <c r="J44" s="109">
        <v>8125.2215999999999</v>
      </c>
      <c r="K44" s="109">
        <v>450.18939999999998</v>
      </c>
      <c r="L44" s="109">
        <v>2735.9439000000007</v>
      </c>
      <c r="M44" s="109">
        <v>705.96860000000015</v>
      </c>
      <c r="N44" s="109">
        <v>744.18589999999983</v>
      </c>
      <c r="O44" s="109">
        <v>13087.207899999998</v>
      </c>
    </row>
    <row r="45" spans="2:16">
      <c r="B45" s="729"/>
      <c r="C45" s="732" t="s">
        <v>123</v>
      </c>
      <c r="D45" s="115">
        <v>2013</v>
      </c>
      <c r="E45" s="112">
        <v>0</v>
      </c>
      <c r="F45" s="113">
        <v>0</v>
      </c>
      <c r="G45" s="113">
        <v>0</v>
      </c>
      <c r="H45" s="113">
        <v>175.15440000000001</v>
      </c>
      <c r="I45" s="113">
        <v>43.549199999999999</v>
      </c>
      <c r="J45" s="113">
        <v>7418.7621999999983</v>
      </c>
      <c r="K45" s="113">
        <v>353.46350000000007</v>
      </c>
      <c r="L45" s="113">
        <v>2738.2195000000002</v>
      </c>
      <c r="M45" s="113">
        <v>630.90549999999985</v>
      </c>
      <c r="N45" s="113">
        <v>748.20500000000015</v>
      </c>
      <c r="O45" s="113">
        <v>12108.2593</v>
      </c>
      <c r="P45" s="114">
        <f>SUM(O45-O44)</f>
        <v>-978.9485999999979</v>
      </c>
    </row>
    <row r="46" spans="2:16">
      <c r="B46" s="729"/>
      <c r="C46" s="730" t="s">
        <v>124</v>
      </c>
      <c r="D46" s="107">
        <v>2006</v>
      </c>
      <c r="E46" s="108">
        <v>0</v>
      </c>
      <c r="F46" s="109">
        <v>0</v>
      </c>
      <c r="G46" s="109">
        <v>0</v>
      </c>
      <c r="H46" s="109">
        <v>72.683199999999999</v>
      </c>
      <c r="I46" s="109">
        <v>238.75</v>
      </c>
      <c r="J46" s="109">
        <v>2186.3374000000003</v>
      </c>
      <c r="K46" s="109">
        <v>103.75050000000002</v>
      </c>
      <c r="L46" s="109">
        <v>139.7157</v>
      </c>
      <c r="M46" s="109">
        <v>158.64269999999996</v>
      </c>
      <c r="N46" s="109">
        <v>130.0273</v>
      </c>
      <c r="O46" s="109">
        <v>3029.9068000000007</v>
      </c>
    </row>
    <row r="47" spans="2:16">
      <c r="B47" s="729"/>
      <c r="C47" s="731" t="s">
        <v>124</v>
      </c>
      <c r="D47" s="107">
        <v>2007</v>
      </c>
      <c r="E47" s="108">
        <v>0</v>
      </c>
      <c r="F47" s="109">
        <v>0</v>
      </c>
      <c r="G47" s="109">
        <v>0</v>
      </c>
      <c r="H47" s="109">
        <v>67.623599999999982</v>
      </c>
      <c r="I47" s="109">
        <v>182.375</v>
      </c>
      <c r="J47" s="109">
        <v>1778.8119999999997</v>
      </c>
      <c r="K47" s="109">
        <v>90.584100000000007</v>
      </c>
      <c r="L47" s="109">
        <v>176.14769999999996</v>
      </c>
      <c r="M47" s="109">
        <v>150.42089999999996</v>
      </c>
      <c r="N47" s="109">
        <v>169.24980000000002</v>
      </c>
      <c r="O47" s="109">
        <v>2615.2130999999999</v>
      </c>
    </row>
    <row r="48" spans="2:16">
      <c r="B48" s="729"/>
      <c r="C48" s="731" t="s">
        <v>124</v>
      </c>
      <c r="D48" s="107">
        <v>2008</v>
      </c>
      <c r="E48" s="108">
        <v>0</v>
      </c>
      <c r="F48" s="109">
        <v>0</v>
      </c>
      <c r="G48" s="109">
        <v>0</v>
      </c>
      <c r="H48" s="109">
        <v>83.376200000000011</v>
      </c>
      <c r="I48" s="109">
        <v>169.125</v>
      </c>
      <c r="J48" s="109">
        <v>1589.4380000000001</v>
      </c>
      <c r="K48" s="109">
        <v>97.500699999999995</v>
      </c>
      <c r="L48" s="109">
        <v>129.23079999999999</v>
      </c>
      <c r="M48" s="109">
        <v>165.48030000000003</v>
      </c>
      <c r="N48" s="109">
        <v>211.62540000000004</v>
      </c>
      <c r="O48" s="109">
        <v>2445.7764000000006</v>
      </c>
    </row>
    <row r="49" spans="2:16">
      <c r="B49" s="729"/>
      <c r="C49" s="731" t="s">
        <v>124</v>
      </c>
      <c r="D49" s="107">
        <v>2009</v>
      </c>
      <c r="E49" s="108">
        <v>0</v>
      </c>
      <c r="F49" s="109">
        <v>0</v>
      </c>
      <c r="G49" s="109">
        <v>0</v>
      </c>
      <c r="H49" s="109">
        <v>94.545200000000023</v>
      </c>
      <c r="I49" s="109">
        <v>179.75</v>
      </c>
      <c r="J49" s="109">
        <v>1547.1049</v>
      </c>
      <c r="K49" s="109">
        <v>110.5419</v>
      </c>
      <c r="L49" s="109">
        <v>171.65399999999997</v>
      </c>
      <c r="M49" s="109">
        <v>142.05999999999997</v>
      </c>
      <c r="N49" s="109">
        <v>243.5419</v>
      </c>
      <c r="O49" s="109">
        <v>2489.1979000000006</v>
      </c>
    </row>
    <row r="50" spans="2:16">
      <c r="B50" s="729"/>
      <c r="C50" s="731" t="s">
        <v>124</v>
      </c>
      <c r="D50" s="107">
        <v>2010</v>
      </c>
      <c r="E50" s="108">
        <v>0</v>
      </c>
      <c r="F50" s="109">
        <v>0</v>
      </c>
      <c r="G50" s="109">
        <v>0</v>
      </c>
      <c r="H50" s="109">
        <v>122.0638</v>
      </c>
      <c r="I50" s="109">
        <v>182.625</v>
      </c>
      <c r="J50" s="109">
        <v>1604.4172999999996</v>
      </c>
      <c r="K50" s="109">
        <v>91.916799999999981</v>
      </c>
      <c r="L50" s="109">
        <v>121.52</v>
      </c>
      <c r="M50" s="109">
        <v>146.18209999999996</v>
      </c>
      <c r="N50" s="109">
        <v>244.54180000000005</v>
      </c>
      <c r="O50" s="109">
        <v>2513.2668000000008</v>
      </c>
    </row>
    <row r="51" spans="2:16">
      <c r="B51" s="729"/>
      <c r="C51" s="731" t="s">
        <v>124</v>
      </c>
      <c r="D51" s="107">
        <v>2011</v>
      </c>
      <c r="E51" s="108">
        <v>4.2774000000000001</v>
      </c>
      <c r="F51" s="109">
        <v>499.12439999999998</v>
      </c>
      <c r="G51" s="109">
        <v>307.3723</v>
      </c>
      <c r="H51" s="109">
        <v>150.76439999999999</v>
      </c>
      <c r="I51" s="109">
        <v>221.58450000000002</v>
      </c>
      <c r="J51" s="109">
        <v>1591.6044999999997</v>
      </c>
      <c r="K51" s="109">
        <v>54.541799999999988</v>
      </c>
      <c r="L51" s="109">
        <v>105.64160000000001</v>
      </c>
      <c r="M51" s="109">
        <v>145.27090000000001</v>
      </c>
      <c r="N51" s="109">
        <v>220.91610000000003</v>
      </c>
      <c r="O51" s="109">
        <v>3301.0979000000002</v>
      </c>
    </row>
    <row r="52" spans="2:16">
      <c r="B52" s="729"/>
      <c r="C52" s="731" t="s">
        <v>124</v>
      </c>
      <c r="D52" s="107">
        <v>2012</v>
      </c>
      <c r="E52" s="108">
        <v>0.754</v>
      </c>
      <c r="F52" s="109">
        <v>765.37580000000003</v>
      </c>
      <c r="G52" s="109">
        <v>335.64690000000007</v>
      </c>
      <c r="H52" s="109">
        <v>142.62740000000002</v>
      </c>
      <c r="I52" s="109">
        <v>261.42360000000002</v>
      </c>
      <c r="J52" s="109">
        <v>1589.1463000000001</v>
      </c>
      <c r="K52" s="109">
        <v>34.83339999999999</v>
      </c>
      <c r="L52" s="109">
        <v>110.97929999999999</v>
      </c>
      <c r="M52" s="109">
        <v>128.8689</v>
      </c>
      <c r="N52" s="109">
        <v>191.95830000000001</v>
      </c>
      <c r="O52" s="109">
        <v>3561.6138999999994</v>
      </c>
    </row>
    <row r="53" spans="2:16">
      <c r="B53" s="729"/>
      <c r="C53" s="732" t="s">
        <v>124</v>
      </c>
      <c r="D53" s="115">
        <v>2013</v>
      </c>
      <c r="E53" s="112">
        <v>3.6497000000000002</v>
      </c>
      <c r="F53" s="113">
        <v>473.17210000000011</v>
      </c>
      <c r="G53" s="113">
        <v>341.6515</v>
      </c>
      <c r="H53" s="113">
        <v>131.20089999999999</v>
      </c>
      <c r="I53" s="113">
        <v>202.46800000000005</v>
      </c>
      <c r="J53" s="113">
        <v>1610.1507999999997</v>
      </c>
      <c r="K53" s="113">
        <v>50.75010000000001</v>
      </c>
      <c r="L53" s="113">
        <v>123.5103</v>
      </c>
      <c r="M53" s="113">
        <v>123.98399999999997</v>
      </c>
      <c r="N53" s="113">
        <v>177.94900000000001</v>
      </c>
      <c r="O53" s="113">
        <v>3238.4863999999998</v>
      </c>
      <c r="P53" s="114">
        <f>SUM(O53-O52)</f>
        <v>-323.1274999999996</v>
      </c>
    </row>
    <row r="54" spans="2:16">
      <c r="B54" s="729"/>
      <c r="C54" s="730" t="s">
        <v>125</v>
      </c>
      <c r="D54" s="107">
        <v>2006</v>
      </c>
      <c r="E54" s="108">
        <v>0</v>
      </c>
      <c r="F54" s="109">
        <v>0</v>
      </c>
      <c r="G54" s="109">
        <v>0</v>
      </c>
      <c r="H54" s="109">
        <v>114.9558</v>
      </c>
      <c r="I54" s="109">
        <v>108.29050000000002</v>
      </c>
      <c r="J54" s="109">
        <v>14003.905800000039</v>
      </c>
      <c r="K54" s="109">
        <v>241.93859999999992</v>
      </c>
      <c r="L54" s="109">
        <v>1533.1852999999996</v>
      </c>
      <c r="M54" s="109">
        <v>772.10640000000012</v>
      </c>
      <c r="N54" s="109">
        <v>753.09999999999991</v>
      </c>
      <c r="O54" s="109">
        <v>17527.482400000012</v>
      </c>
    </row>
    <row r="55" spans="2:16">
      <c r="B55" s="729"/>
      <c r="C55" s="731" t="s">
        <v>125</v>
      </c>
      <c r="D55" s="107">
        <v>2007</v>
      </c>
      <c r="E55" s="108">
        <v>0</v>
      </c>
      <c r="F55" s="109">
        <v>0</v>
      </c>
      <c r="G55" s="109">
        <v>0</v>
      </c>
      <c r="H55" s="109">
        <v>122.61690000000003</v>
      </c>
      <c r="I55" s="109">
        <v>158.57499999999999</v>
      </c>
      <c r="J55" s="109">
        <v>14386.965499999978</v>
      </c>
      <c r="K55" s="109">
        <v>340.57580000000007</v>
      </c>
      <c r="L55" s="109">
        <v>1565.9300999999996</v>
      </c>
      <c r="M55" s="109">
        <v>764.53800000000012</v>
      </c>
      <c r="N55" s="109">
        <v>880.15409999999986</v>
      </c>
      <c r="O55" s="109">
        <v>18219.355399999997</v>
      </c>
    </row>
    <row r="56" spans="2:16">
      <c r="B56" s="729"/>
      <c r="C56" s="731" t="s">
        <v>125</v>
      </c>
      <c r="D56" s="107">
        <v>2008</v>
      </c>
      <c r="E56" s="108">
        <v>0</v>
      </c>
      <c r="F56" s="109">
        <v>0</v>
      </c>
      <c r="G56" s="109">
        <v>0</v>
      </c>
      <c r="H56" s="109">
        <v>126.03690000000003</v>
      </c>
      <c r="I56" s="109">
        <v>54.563200000000002</v>
      </c>
      <c r="J56" s="109">
        <v>14545.304600000029</v>
      </c>
      <c r="K56" s="109">
        <v>313.41789999999992</v>
      </c>
      <c r="L56" s="109">
        <v>1537.8825999999999</v>
      </c>
      <c r="M56" s="109">
        <v>778.20240000000001</v>
      </c>
      <c r="N56" s="109">
        <v>938.91490000000022</v>
      </c>
      <c r="O56" s="109">
        <v>18294.322500000017</v>
      </c>
    </row>
    <row r="57" spans="2:16">
      <c r="B57" s="729"/>
      <c r="C57" s="731" t="s">
        <v>125</v>
      </c>
      <c r="D57" s="107">
        <v>2009</v>
      </c>
      <c r="E57" s="108">
        <v>0</v>
      </c>
      <c r="F57" s="109">
        <v>0</v>
      </c>
      <c r="G57" s="109">
        <v>0</v>
      </c>
      <c r="H57" s="109">
        <v>265.5</v>
      </c>
      <c r="I57" s="109">
        <v>59.280499999999989</v>
      </c>
      <c r="J57" s="109">
        <v>15116.086200000045</v>
      </c>
      <c r="K57" s="109">
        <v>315.78910000000008</v>
      </c>
      <c r="L57" s="109">
        <v>1544.2723999999996</v>
      </c>
      <c r="M57" s="109">
        <v>790.99689999999987</v>
      </c>
      <c r="N57" s="109">
        <v>1034.1499999999999</v>
      </c>
      <c r="O57" s="109">
        <v>19126.075100000031</v>
      </c>
    </row>
    <row r="58" spans="2:16">
      <c r="B58" s="729"/>
      <c r="C58" s="731" t="s">
        <v>125</v>
      </c>
      <c r="D58" s="107">
        <v>2010</v>
      </c>
      <c r="E58" s="108">
        <v>0</v>
      </c>
      <c r="F58" s="109">
        <v>0</v>
      </c>
      <c r="G58" s="109">
        <v>0</v>
      </c>
      <c r="H58" s="109">
        <v>254.5</v>
      </c>
      <c r="I58" s="109">
        <v>47.539500000000011</v>
      </c>
      <c r="J58" s="109">
        <v>15562.866800000049</v>
      </c>
      <c r="K58" s="109">
        <v>399.00239999999991</v>
      </c>
      <c r="L58" s="109">
        <v>1604.5377000000003</v>
      </c>
      <c r="M58" s="109">
        <v>869.89200000000005</v>
      </c>
      <c r="N58" s="109">
        <v>1080.915</v>
      </c>
      <c r="O58" s="109">
        <v>19819.253400000045</v>
      </c>
    </row>
    <row r="59" spans="2:16">
      <c r="B59" s="729"/>
      <c r="C59" s="731" t="s">
        <v>125</v>
      </c>
      <c r="D59" s="107">
        <v>2011</v>
      </c>
      <c r="E59" s="108">
        <v>0</v>
      </c>
      <c r="F59" s="109">
        <v>0</v>
      </c>
      <c r="G59" s="109">
        <v>0</v>
      </c>
      <c r="H59" s="109">
        <v>222.90000000000003</v>
      </c>
      <c r="I59" s="109">
        <v>35.421100000000003</v>
      </c>
      <c r="J59" s="109">
        <v>15337.395000000039</v>
      </c>
      <c r="K59" s="109">
        <v>379.50829999999996</v>
      </c>
      <c r="L59" s="109">
        <v>1585.5975000000001</v>
      </c>
      <c r="M59" s="109">
        <v>885.45870000000002</v>
      </c>
      <c r="N59" s="109">
        <v>1085.7250000000001</v>
      </c>
      <c r="O59" s="109">
        <v>19532.005600000059</v>
      </c>
    </row>
    <row r="60" spans="2:16">
      <c r="B60" s="729"/>
      <c r="C60" s="731" t="s">
        <v>125</v>
      </c>
      <c r="D60" s="107">
        <v>2012</v>
      </c>
      <c r="E60" s="108">
        <v>0</v>
      </c>
      <c r="F60" s="109">
        <v>0</v>
      </c>
      <c r="G60" s="109">
        <v>0</v>
      </c>
      <c r="H60" s="109">
        <v>247.84000000000006</v>
      </c>
      <c r="I60" s="109">
        <v>22.088799999999996</v>
      </c>
      <c r="J60" s="109">
        <v>15410.363300000057</v>
      </c>
      <c r="K60" s="109">
        <v>294.2679</v>
      </c>
      <c r="L60" s="109">
        <v>1135.2986999999998</v>
      </c>
      <c r="M60" s="109">
        <v>923.93969999999979</v>
      </c>
      <c r="N60" s="109">
        <v>1127.5497</v>
      </c>
      <c r="O60" s="109">
        <v>19161.348100000123</v>
      </c>
    </row>
    <row r="61" spans="2:16">
      <c r="B61" s="729"/>
      <c r="C61" s="732" t="s">
        <v>125</v>
      </c>
      <c r="D61" s="115">
        <v>2013</v>
      </c>
      <c r="E61" s="112">
        <v>0</v>
      </c>
      <c r="F61" s="113">
        <v>0</v>
      </c>
      <c r="G61" s="113">
        <v>0</v>
      </c>
      <c r="H61" s="113">
        <v>274.72000000000008</v>
      </c>
      <c r="I61" s="113">
        <v>9.5170999999999992</v>
      </c>
      <c r="J61" s="113">
        <v>15362.957200000015</v>
      </c>
      <c r="K61" s="113">
        <v>317.74330000000009</v>
      </c>
      <c r="L61" s="113">
        <v>975.44630000000029</v>
      </c>
      <c r="M61" s="113">
        <v>862.75680000000011</v>
      </c>
      <c r="N61" s="113">
        <v>1092.7433000000001</v>
      </c>
      <c r="O61" s="113">
        <v>18895.8840000001</v>
      </c>
      <c r="P61" s="114">
        <f>SUM(O61-O60)</f>
        <v>-265.46410000002288</v>
      </c>
    </row>
    <row r="62" spans="2:16">
      <c r="B62" s="729"/>
      <c r="C62" s="730" t="s">
        <v>126</v>
      </c>
      <c r="D62" s="107">
        <v>2006</v>
      </c>
      <c r="E62" s="108">
        <v>23.330799999999993</v>
      </c>
      <c r="F62" s="109">
        <v>223.00930000000002</v>
      </c>
      <c r="G62" s="109">
        <v>841.09519999999998</v>
      </c>
      <c r="H62" s="109">
        <v>740.47919999999999</v>
      </c>
      <c r="I62" s="109">
        <v>3656.4133000000002</v>
      </c>
      <c r="J62" s="109">
        <v>8476.1528000000017</v>
      </c>
      <c r="K62" s="109">
        <v>480.50740000000002</v>
      </c>
      <c r="L62" s="109">
        <v>223.16829999999999</v>
      </c>
      <c r="M62" s="109">
        <v>533.33339999999987</v>
      </c>
      <c r="N62" s="109">
        <v>146.49619999999996</v>
      </c>
      <c r="O62" s="109">
        <v>15343.985899999981</v>
      </c>
    </row>
    <row r="63" spans="2:16">
      <c r="B63" s="729"/>
      <c r="C63" s="731" t="s">
        <v>126</v>
      </c>
      <c r="D63" s="107">
        <v>2007</v>
      </c>
      <c r="E63" s="108">
        <v>0.125</v>
      </c>
      <c r="F63" s="109">
        <v>49.703100000000013</v>
      </c>
      <c r="G63" s="109">
        <v>616.27499999999998</v>
      </c>
      <c r="H63" s="109">
        <v>783.20789999999988</v>
      </c>
      <c r="I63" s="109">
        <v>3680.7367999999969</v>
      </c>
      <c r="J63" s="109">
        <v>9205.9245000000083</v>
      </c>
      <c r="K63" s="109">
        <v>545.9722999999999</v>
      </c>
      <c r="L63" s="109">
        <v>314.98630000000003</v>
      </c>
      <c r="M63" s="109">
        <v>581.80650000000014</v>
      </c>
      <c r="N63" s="109">
        <v>166.79089999999999</v>
      </c>
      <c r="O63" s="109">
        <v>15945.528299999996</v>
      </c>
    </row>
    <row r="64" spans="2:16">
      <c r="B64" s="729"/>
      <c r="C64" s="731" t="s">
        <v>126</v>
      </c>
      <c r="D64" s="107">
        <v>2008</v>
      </c>
      <c r="E64" s="108">
        <v>0</v>
      </c>
      <c r="F64" s="109">
        <v>26.651</v>
      </c>
      <c r="G64" s="109">
        <v>746.61080000000004</v>
      </c>
      <c r="H64" s="109">
        <v>626.77379999999982</v>
      </c>
      <c r="I64" s="109">
        <v>3085.8308999999995</v>
      </c>
      <c r="J64" s="109">
        <v>9792.3733000000029</v>
      </c>
      <c r="K64" s="109">
        <v>568.0825000000001</v>
      </c>
      <c r="L64" s="109">
        <v>616.5313000000001</v>
      </c>
      <c r="M64" s="109">
        <v>698.69549999999992</v>
      </c>
      <c r="N64" s="109">
        <v>185.1653</v>
      </c>
      <c r="O64" s="109">
        <v>16346.714400000003</v>
      </c>
    </row>
    <row r="65" spans="2:16">
      <c r="B65" s="729"/>
      <c r="C65" s="731" t="s">
        <v>126</v>
      </c>
      <c r="D65" s="107">
        <v>2009</v>
      </c>
      <c r="E65" s="108">
        <v>0</v>
      </c>
      <c r="F65" s="109">
        <v>2.1579999999999999</v>
      </c>
      <c r="G65" s="109">
        <v>585.35400000000016</v>
      </c>
      <c r="H65" s="109">
        <v>740.82579999999996</v>
      </c>
      <c r="I65" s="109">
        <v>2573.5889999999995</v>
      </c>
      <c r="J65" s="109">
        <v>11146.55700000001</v>
      </c>
      <c r="K65" s="109">
        <v>701.76270000000011</v>
      </c>
      <c r="L65" s="109">
        <v>892.63830000000007</v>
      </c>
      <c r="M65" s="109">
        <v>811.57510000000013</v>
      </c>
      <c r="N65" s="109">
        <v>238.4486</v>
      </c>
      <c r="O65" s="109">
        <v>17692.908500000001</v>
      </c>
    </row>
    <row r="66" spans="2:16">
      <c r="B66" s="729"/>
      <c r="C66" s="731" t="s">
        <v>126</v>
      </c>
      <c r="D66" s="107">
        <v>2010</v>
      </c>
      <c r="E66" s="108">
        <v>0</v>
      </c>
      <c r="F66" s="109">
        <v>0</v>
      </c>
      <c r="G66" s="109">
        <v>709.72720000000015</v>
      </c>
      <c r="H66" s="109">
        <v>557.87029999999982</v>
      </c>
      <c r="I66" s="109">
        <v>2212.5344999999998</v>
      </c>
      <c r="J66" s="109">
        <v>12285.887299999997</v>
      </c>
      <c r="K66" s="109">
        <v>665.32360000000017</v>
      </c>
      <c r="L66" s="109">
        <v>1056.357</v>
      </c>
      <c r="M66" s="109">
        <v>900.96720000000016</v>
      </c>
      <c r="N66" s="109">
        <v>298.80589999999995</v>
      </c>
      <c r="O66" s="109">
        <v>18687.473000000002</v>
      </c>
    </row>
    <row r="67" spans="2:16">
      <c r="B67" s="729"/>
      <c r="C67" s="731" t="s">
        <v>126</v>
      </c>
      <c r="D67" s="107">
        <v>2011</v>
      </c>
      <c r="E67" s="108">
        <v>0</v>
      </c>
      <c r="F67" s="109">
        <v>0</v>
      </c>
      <c r="G67" s="109">
        <v>461.61880000000002</v>
      </c>
      <c r="H67" s="109">
        <v>658.86900000000003</v>
      </c>
      <c r="I67" s="109">
        <v>1557.6478000000004</v>
      </c>
      <c r="J67" s="109">
        <v>12750.702499999999</v>
      </c>
      <c r="K67" s="109">
        <v>578.85199999999998</v>
      </c>
      <c r="L67" s="109">
        <v>960.93179999999995</v>
      </c>
      <c r="M67" s="109">
        <v>878.41160000000002</v>
      </c>
      <c r="N67" s="109">
        <v>349.79099999999994</v>
      </c>
      <c r="O67" s="109">
        <v>18196.824500000017</v>
      </c>
    </row>
    <row r="68" spans="2:16">
      <c r="B68" s="729"/>
      <c r="C68" s="731" t="s">
        <v>126</v>
      </c>
      <c r="D68" s="107">
        <v>2012</v>
      </c>
      <c r="E68" s="108">
        <v>0</v>
      </c>
      <c r="F68" s="109">
        <v>0</v>
      </c>
      <c r="G68" s="109">
        <v>336.63830000000007</v>
      </c>
      <c r="H68" s="109">
        <v>632.65599999999984</v>
      </c>
      <c r="I68" s="109">
        <v>1358.0767000000003</v>
      </c>
      <c r="J68" s="109">
        <v>13571.27710000001</v>
      </c>
      <c r="K68" s="109">
        <v>527.41289999999992</v>
      </c>
      <c r="L68" s="109">
        <v>1029.6556</v>
      </c>
      <c r="M68" s="109">
        <v>958.11850000000004</v>
      </c>
      <c r="N68" s="109">
        <v>351.90570000000002</v>
      </c>
      <c r="O68" s="109">
        <v>18765.740800000018</v>
      </c>
    </row>
    <row r="69" spans="2:16">
      <c r="B69" s="729"/>
      <c r="C69" s="732" t="s">
        <v>126</v>
      </c>
      <c r="D69" s="115">
        <v>2013</v>
      </c>
      <c r="E69" s="112">
        <v>0</v>
      </c>
      <c r="F69" s="113">
        <v>0</v>
      </c>
      <c r="G69" s="113">
        <v>373.54270000000008</v>
      </c>
      <c r="H69" s="113">
        <v>660.82100000000003</v>
      </c>
      <c r="I69" s="113">
        <v>965.38469999999995</v>
      </c>
      <c r="J69" s="113">
        <v>13852.435299999999</v>
      </c>
      <c r="K69" s="113">
        <v>482.96289999999988</v>
      </c>
      <c r="L69" s="113">
        <v>1089.7790999999997</v>
      </c>
      <c r="M69" s="113">
        <v>996.3847999999997</v>
      </c>
      <c r="N69" s="113">
        <v>416.1191</v>
      </c>
      <c r="O69" s="113">
        <v>18837.429599999999</v>
      </c>
      <c r="P69" s="114">
        <f>SUM(O69-O68)</f>
        <v>71.688799999981711</v>
      </c>
    </row>
    <row r="70" spans="2:16">
      <c r="B70" s="729"/>
      <c r="C70" s="730" t="s">
        <v>119</v>
      </c>
      <c r="D70" s="107">
        <v>2006</v>
      </c>
      <c r="E70" s="108">
        <v>25.474299999999999</v>
      </c>
      <c r="F70" s="109">
        <v>225.41410000000002</v>
      </c>
      <c r="G70" s="109">
        <v>1042.8371999999999</v>
      </c>
      <c r="H70" s="109">
        <v>2563.4285000000004</v>
      </c>
      <c r="I70" s="109">
        <v>5378.2064</v>
      </c>
      <c r="J70" s="109">
        <v>87047.303499999645</v>
      </c>
      <c r="K70" s="109">
        <v>4404.630799999999</v>
      </c>
      <c r="L70" s="109">
        <v>12397.075499999997</v>
      </c>
      <c r="M70" s="109">
        <v>6233.9552000000003</v>
      </c>
      <c r="N70" s="109">
        <v>4397.9138999999996</v>
      </c>
      <c r="O70" s="109">
        <v>123716.23939999983</v>
      </c>
    </row>
    <row r="71" spans="2:16">
      <c r="B71" s="729"/>
      <c r="C71" s="731" t="s">
        <v>119</v>
      </c>
      <c r="D71" s="107">
        <v>2007</v>
      </c>
      <c r="E71" s="108">
        <v>1.2682</v>
      </c>
      <c r="F71" s="109">
        <v>49.703100000000013</v>
      </c>
      <c r="G71" s="109">
        <v>862.09499999999991</v>
      </c>
      <c r="H71" s="109">
        <v>2594.8912999999998</v>
      </c>
      <c r="I71" s="109">
        <v>5495.806599999999</v>
      </c>
      <c r="J71" s="109">
        <v>88847.056000000099</v>
      </c>
      <c r="K71" s="109">
        <v>5131.9612999999999</v>
      </c>
      <c r="L71" s="109">
        <v>12943.068799999997</v>
      </c>
      <c r="M71" s="109">
        <v>6242.6571999999951</v>
      </c>
      <c r="N71" s="109">
        <v>5042.1031999999987</v>
      </c>
      <c r="O71" s="109">
        <v>127210.61069999977</v>
      </c>
    </row>
    <row r="72" spans="2:16">
      <c r="B72" s="729"/>
      <c r="C72" s="731" t="s">
        <v>119</v>
      </c>
      <c r="D72" s="107">
        <v>2008</v>
      </c>
      <c r="E72" s="108">
        <v>0</v>
      </c>
      <c r="F72" s="109">
        <v>26.651</v>
      </c>
      <c r="G72" s="109">
        <v>1127.9057999999998</v>
      </c>
      <c r="H72" s="109">
        <v>2400.3059000000017</v>
      </c>
      <c r="I72" s="109">
        <v>4663.0356999999949</v>
      </c>
      <c r="J72" s="109">
        <v>88156.954100000134</v>
      </c>
      <c r="K72" s="109">
        <v>4993.8343999999997</v>
      </c>
      <c r="L72" s="109">
        <v>13265.81430000002</v>
      </c>
      <c r="M72" s="109">
        <v>6316.8462000000009</v>
      </c>
      <c r="N72" s="109">
        <v>5410.4557000000013</v>
      </c>
      <c r="O72" s="109">
        <v>126361.80310000012</v>
      </c>
    </row>
    <row r="73" spans="2:16">
      <c r="B73" s="729"/>
      <c r="C73" s="731" t="s">
        <v>119</v>
      </c>
      <c r="D73" s="107">
        <v>2009</v>
      </c>
      <c r="E73" s="108">
        <v>0</v>
      </c>
      <c r="F73" s="109">
        <v>2.1579999999999999</v>
      </c>
      <c r="G73" s="109">
        <v>971.70899999999972</v>
      </c>
      <c r="H73" s="109">
        <v>3320.6048000000001</v>
      </c>
      <c r="I73" s="109">
        <v>4199.018</v>
      </c>
      <c r="J73" s="109">
        <v>91429.634800000276</v>
      </c>
      <c r="K73" s="109">
        <v>5775.8979000000008</v>
      </c>
      <c r="L73" s="109">
        <v>15564.336400000018</v>
      </c>
      <c r="M73" s="109">
        <v>6718.7515999999996</v>
      </c>
      <c r="N73" s="109">
        <v>5979.529700000001</v>
      </c>
      <c r="O73" s="109">
        <v>133961.64020000002</v>
      </c>
    </row>
    <row r="74" spans="2:16">
      <c r="B74" s="729"/>
      <c r="C74" s="731" t="s">
        <v>119</v>
      </c>
      <c r="D74" s="107">
        <v>2010</v>
      </c>
      <c r="E74" s="108">
        <v>0</v>
      </c>
      <c r="F74" s="109">
        <v>0</v>
      </c>
      <c r="G74" s="109">
        <v>978.82719999999972</v>
      </c>
      <c r="H74" s="109">
        <v>2797.0239999999994</v>
      </c>
      <c r="I74" s="109">
        <v>3745.5850000000005</v>
      </c>
      <c r="J74" s="109">
        <v>93637.430400000245</v>
      </c>
      <c r="K74" s="109">
        <v>5751.403700000008</v>
      </c>
      <c r="L74" s="109">
        <v>16478.532000000017</v>
      </c>
      <c r="M74" s="109">
        <v>7138.1229999999987</v>
      </c>
      <c r="N74" s="109">
        <v>6202.3176999999951</v>
      </c>
      <c r="O74" s="109">
        <v>136729.2430000004</v>
      </c>
    </row>
    <row r="75" spans="2:16">
      <c r="B75" s="729"/>
      <c r="C75" s="731" t="s">
        <v>119</v>
      </c>
      <c r="D75" s="107">
        <v>2011</v>
      </c>
      <c r="E75" s="108">
        <v>4.2774000000000001</v>
      </c>
      <c r="F75" s="109">
        <v>499.12439999999998</v>
      </c>
      <c r="G75" s="109">
        <v>988.14110000000005</v>
      </c>
      <c r="H75" s="109">
        <v>2471.5704000000001</v>
      </c>
      <c r="I75" s="109">
        <v>2948.7330000000006</v>
      </c>
      <c r="J75" s="109">
        <v>92161.29879999999</v>
      </c>
      <c r="K75" s="109">
        <v>4921.4518000000053</v>
      </c>
      <c r="L75" s="109">
        <v>15746.38040000002</v>
      </c>
      <c r="M75" s="109">
        <v>7189.5907000000016</v>
      </c>
      <c r="N75" s="109">
        <v>6423.5013000000017</v>
      </c>
      <c r="O75" s="109">
        <v>133354.06930000056</v>
      </c>
    </row>
    <row r="76" spans="2:16">
      <c r="B76" s="729"/>
      <c r="C76" s="731" t="s">
        <v>119</v>
      </c>
      <c r="D76" s="107">
        <v>2012</v>
      </c>
      <c r="E76" s="108">
        <v>0.754</v>
      </c>
      <c r="F76" s="109">
        <v>765.37580000000003</v>
      </c>
      <c r="G76" s="109">
        <v>880.72519999999997</v>
      </c>
      <c r="H76" s="109">
        <v>2480.3088999999995</v>
      </c>
      <c r="I76" s="109">
        <v>2559.2124999999992</v>
      </c>
      <c r="J76" s="109">
        <v>93499.627099999561</v>
      </c>
      <c r="K76" s="109">
        <v>4591.0921000000035</v>
      </c>
      <c r="L76" s="109">
        <v>15428.597200000018</v>
      </c>
      <c r="M76" s="109">
        <v>7528.5253000000002</v>
      </c>
      <c r="N76" s="109">
        <v>6508.2016999999987</v>
      </c>
      <c r="O76" s="109">
        <v>134242.41979999992</v>
      </c>
    </row>
    <row r="77" spans="2:16">
      <c r="B77" s="729"/>
      <c r="C77" s="732" t="s">
        <v>119</v>
      </c>
      <c r="D77" s="115">
        <v>2013</v>
      </c>
      <c r="E77" s="112">
        <v>3.6497000000000002</v>
      </c>
      <c r="F77" s="113">
        <v>473.1721000000004</v>
      </c>
      <c r="G77" s="113">
        <v>898.43420000000015</v>
      </c>
      <c r="H77" s="113">
        <v>2418.5423000000005</v>
      </c>
      <c r="I77" s="113">
        <v>2012.8054</v>
      </c>
      <c r="J77" s="113">
        <v>92241.282700000229</v>
      </c>
      <c r="K77" s="113">
        <v>4125.5055000000029</v>
      </c>
      <c r="L77" s="113">
        <v>16038.652100000019</v>
      </c>
      <c r="M77" s="113">
        <v>7732.8906999999999</v>
      </c>
      <c r="N77" s="113">
        <v>6607.6489000000047</v>
      </c>
      <c r="O77" s="113">
        <v>132552.58360000013</v>
      </c>
    </row>
    <row r="78" spans="2:16" ht="12.75" customHeight="1">
      <c r="B78" s="728" t="s">
        <v>229</v>
      </c>
      <c r="C78" s="728" t="s">
        <v>182</v>
      </c>
      <c r="D78" s="107">
        <v>2006</v>
      </c>
      <c r="E78" s="108">
        <v>19.990600000000004</v>
      </c>
      <c r="F78" s="109">
        <v>712.87259999999753</v>
      </c>
      <c r="G78" s="109">
        <v>494.98860000000002</v>
      </c>
      <c r="H78" s="109">
        <v>441.58089999999999</v>
      </c>
      <c r="I78" s="109">
        <v>397.7029</v>
      </c>
      <c r="J78" s="109">
        <v>0</v>
      </c>
      <c r="K78" s="109">
        <v>0</v>
      </c>
      <c r="L78" s="109">
        <v>0</v>
      </c>
      <c r="M78" s="109">
        <v>0</v>
      </c>
      <c r="N78" s="109">
        <v>0</v>
      </c>
      <c r="O78" s="109">
        <v>2067.1355999999982</v>
      </c>
    </row>
    <row r="79" spans="2:16" ht="12.75" customHeight="1">
      <c r="B79" s="729"/>
      <c r="C79" s="731" t="s">
        <v>182</v>
      </c>
      <c r="D79" s="107">
        <v>2007</v>
      </c>
      <c r="E79" s="108">
        <v>11.519700000000002</v>
      </c>
      <c r="F79" s="109">
        <v>799.91250000000139</v>
      </c>
      <c r="G79" s="109">
        <v>486.82009999999968</v>
      </c>
      <c r="H79" s="109">
        <v>552.81420000000014</v>
      </c>
      <c r="I79" s="109">
        <v>376.51330000000007</v>
      </c>
      <c r="J79" s="109">
        <v>0</v>
      </c>
      <c r="K79" s="109">
        <v>0</v>
      </c>
      <c r="L79" s="109">
        <v>0</v>
      </c>
      <c r="M79" s="109">
        <v>0</v>
      </c>
      <c r="N79" s="109">
        <v>0</v>
      </c>
      <c r="O79" s="109">
        <v>2227.5797999999995</v>
      </c>
    </row>
    <row r="80" spans="2:16" ht="12.75" customHeight="1">
      <c r="B80" s="729"/>
      <c r="C80" s="731" t="s">
        <v>182</v>
      </c>
      <c r="D80" s="107">
        <v>2008</v>
      </c>
      <c r="E80" s="108">
        <v>30.531500000000001</v>
      </c>
      <c r="F80" s="109">
        <v>581.4575000000001</v>
      </c>
      <c r="G80" s="109">
        <v>587.59999999999991</v>
      </c>
      <c r="H80" s="109">
        <v>449.62540000000001</v>
      </c>
      <c r="I80" s="109">
        <v>379.26939999999996</v>
      </c>
      <c r="J80" s="109">
        <v>0</v>
      </c>
      <c r="K80" s="109">
        <v>0</v>
      </c>
      <c r="L80" s="109">
        <v>0</v>
      </c>
      <c r="M80" s="109">
        <v>0</v>
      </c>
      <c r="N80" s="109">
        <v>0</v>
      </c>
      <c r="O80" s="109">
        <v>2028.4838000000016</v>
      </c>
    </row>
    <row r="81" spans="2:15" ht="12.75" customHeight="1">
      <c r="B81" s="729"/>
      <c r="C81" s="731" t="s">
        <v>182</v>
      </c>
      <c r="D81" s="107">
        <v>2009</v>
      </c>
      <c r="E81" s="108">
        <v>42.091299999999997</v>
      </c>
      <c r="F81" s="109">
        <v>535.56650000000013</v>
      </c>
      <c r="G81" s="109">
        <v>581.11829999999986</v>
      </c>
      <c r="H81" s="109">
        <v>521.15039999999988</v>
      </c>
      <c r="I81" s="109">
        <v>414.95159999999998</v>
      </c>
      <c r="J81" s="109">
        <v>0</v>
      </c>
      <c r="K81" s="109">
        <v>0</v>
      </c>
      <c r="L81" s="109">
        <v>0</v>
      </c>
      <c r="M81" s="109">
        <v>0</v>
      </c>
      <c r="N81" s="109">
        <v>0</v>
      </c>
      <c r="O81" s="109">
        <v>2094.8781000000017</v>
      </c>
    </row>
    <row r="82" spans="2:15" ht="12.75" customHeight="1">
      <c r="B82" s="729"/>
      <c r="C82" s="731" t="s">
        <v>182</v>
      </c>
      <c r="D82" s="107">
        <v>2010</v>
      </c>
      <c r="E82" s="108">
        <v>35.902599999999993</v>
      </c>
      <c r="F82" s="109">
        <v>587.2736000000001</v>
      </c>
      <c r="G82" s="109">
        <v>721.57519999999988</v>
      </c>
      <c r="H82" s="109">
        <v>428.62009999999998</v>
      </c>
      <c r="I82" s="109">
        <v>404.46929999999992</v>
      </c>
      <c r="J82" s="109">
        <v>0</v>
      </c>
      <c r="K82" s="109">
        <v>0</v>
      </c>
      <c r="L82" s="109">
        <v>0</v>
      </c>
      <c r="M82" s="109">
        <v>0</v>
      </c>
      <c r="N82" s="109">
        <v>0</v>
      </c>
      <c r="O82" s="109">
        <v>2177.8407999999999</v>
      </c>
    </row>
    <row r="83" spans="2:15" ht="12.75" customHeight="1">
      <c r="B83" s="729"/>
      <c r="C83" s="731" t="s">
        <v>182</v>
      </c>
      <c r="D83" s="107">
        <v>2011</v>
      </c>
      <c r="E83" s="108">
        <v>41.799199999999999</v>
      </c>
      <c r="F83" s="109">
        <v>606.0329999999999</v>
      </c>
      <c r="G83" s="109">
        <v>641.53339999999992</v>
      </c>
      <c r="H83" s="109">
        <v>355.19749999999999</v>
      </c>
      <c r="I83" s="109">
        <v>439.10199999999998</v>
      </c>
      <c r="J83" s="109">
        <v>0</v>
      </c>
      <c r="K83" s="109">
        <v>0</v>
      </c>
      <c r="L83" s="109">
        <v>0</v>
      </c>
      <c r="M83" s="109">
        <v>0</v>
      </c>
      <c r="N83" s="109">
        <v>0</v>
      </c>
      <c r="O83" s="109">
        <v>2083.6651000000002</v>
      </c>
    </row>
    <row r="84" spans="2:15" ht="12.75" customHeight="1">
      <c r="B84" s="729"/>
      <c r="C84" s="731" t="s">
        <v>182</v>
      </c>
      <c r="D84" s="107">
        <v>2012</v>
      </c>
      <c r="E84" s="108">
        <v>26.881</v>
      </c>
      <c r="F84" s="109">
        <v>573.53139999999985</v>
      </c>
      <c r="G84" s="109">
        <v>526.98939999999982</v>
      </c>
      <c r="H84" s="109">
        <v>364.44739999999996</v>
      </c>
      <c r="I84" s="109">
        <v>417.29969999999992</v>
      </c>
      <c r="J84" s="109">
        <v>0</v>
      </c>
      <c r="K84" s="109">
        <v>0</v>
      </c>
      <c r="L84" s="109">
        <v>0</v>
      </c>
      <c r="M84" s="109">
        <v>0</v>
      </c>
      <c r="N84" s="109">
        <v>0</v>
      </c>
      <c r="O84" s="109">
        <v>1909.1489000000004</v>
      </c>
    </row>
    <row r="85" spans="2:15" ht="12.75" customHeight="1">
      <c r="B85" s="729"/>
      <c r="C85" s="732" t="s">
        <v>182</v>
      </c>
      <c r="D85" s="115">
        <v>2013</v>
      </c>
      <c r="E85" s="112">
        <v>25.811699999999998</v>
      </c>
      <c r="F85" s="113">
        <v>314.43339999999995</v>
      </c>
      <c r="G85" s="113">
        <v>313.26519999999999</v>
      </c>
      <c r="H85" s="113">
        <v>300.17630000000008</v>
      </c>
      <c r="I85" s="113">
        <v>306.92380000000003</v>
      </c>
      <c r="J85" s="113">
        <v>0</v>
      </c>
      <c r="K85" s="113">
        <v>0</v>
      </c>
      <c r="L85" s="113">
        <v>0</v>
      </c>
      <c r="M85" s="113">
        <v>0</v>
      </c>
      <c r="N85" s="113">
        <v>0</v>
      </c>
      <c r="O85" s="113">
        <v>1260.6104</v>
      </c>
    </row>
    <row r="86" spans="2:15">
      <c r="B86" s="729"/>
      <c r="C86" s="728" t="s">
        <v>183</v>
      </c>
      <c r="D86" s="107">
        <v>2006</v>
      </c>
      <c r="E86" s="108">
        <v>29.1676</v>
      </c>
      <c r="F86" s="109">
        <v>376.11970000000025</v>
      </c>
      <c r="G86" s="109">
        <v>874.70619999999985</v>
      </c>
      <c r="H86" s="109">
        <v>564.38089999999988</v>
      </c>
      <c r="I86" s="109">
        <v>723.04630000000009</v>
      </c>
      <c r="J86" s="109">
        <v>49.974399999999989</v>
      </c>
      <c r="K86" s="109">
        <v>1</v>
      </c>
      <c r="L86" s="109">
        <v>0</v>
      </c>
      <c r="M86" s="109">
        <v>0</v>
      </c>
      <c r="N86" s="109">
        <v>0</v>
      </c>
      <c r="O86" s="109">
        <v>2618.3950999999993</v>
      </c>
    </row>
    <row r="87" spans="2:15" ht="12.75" customHeight="1">
      <c r="B87" s="729"/>
      <c r="C87" s="731" t="s">
        <v>183</v>
      </c>
      <c r="D87" s="107">
        <v>2007</v>
      </c>
      <c r="E87" s="108">
        <v>35.005199999999995</v>
      </c>
      <c r="F87" s="109">
        <v>348.01339999999999</v>
      </c>
      <c r="G87" s="109">
        <v>1115.6179999999999</v>
      </c>
      <c r="H87" s="109">
        <v>558.67879999999991</v>
      </c>
      <c r="I87" s="109">
        <v>763.05600000000004</v>
      </c>
      <c r="J87" s="109">
        <v>41.443900000000006</v>
      </c>
      <c r="K87" s="109">
        <v>3.2151000000000005</v>
      </c>
      <c r="L87" s="109">
        <v>0</v>
      </c>
      <c r="M87" s="109">
        <v>0</v>
      </c>
      <c r="N87" s="109">
        <v>0</v>
      </c>
      <c r="O87" s="109">
        <v>2865.0304000000006</v>
      </c>
    </row>
    <row r="88" spans="2:15" ht="12.75" customHeight="1">
      <c r="B88" s="729"/>
      <c r="C88" s="731" t="s">
        <v>183</v>
      </c>
      <c r="D88" s="107">
        <v>2008</v>
      </c>
      <c r="E88" s="108">
        <v>34.315999999999995</v>
      </c>
      <c r="F88" s="109">
        <v>396.66930000000008</v>
      </c>
      <c r="G88" s="109">
        <v>911.24039999999991</v>
      </c>
      <c r="H88" s="109">
        <v>586.18020000000013</v>
      </c>
      <c r="I88" s="109">
        <v>799.42879999999991</v>
      </c>
      <c r="J88" s="109">
        <v>17.399999999999999</v>
      </c>
      <c r="K88" s="109">
        <v>7.9651000000000014</v>
      </c>
      <c r="L88" s="109">
        <v>0</v>
      </c>
      <c r="M88" s="109">
        <v>0</v>
      </c>
      <c r="N88" s="109">
        <v>0</v>
      </c>
      <c r="O88" s="109">
        <v>2753.1997999999999</v>
      </c>
    </row>
    <row r="89" spans="2:15" ht="12.75" customHeight="1">
      <c r="B89" s="729"/>
      <c r="C89" s="731" t="s">
        <v>183</v>
      </c>
      <c r="D89" s="107">
        <v>2009</v>
      </c>
      <c r="E89" s="108">
        <v>52.894299999999987</v>
      </c>
      <c r="F89" s="109">
        <v>425.86619999999994</v>
      </c>
      <c r="G89" s="109">
        <v>890.37450000000013</v>
      </c>
      <c r="H89" s="109">
        <v>636.35159999999985</v>
      </c>
      <c r="I89" s="109">
        <v>989.32960000000003</v>
      </c>
      <c r="J89" s="109">
        <v>23.97</v>
      </c>
      <c r="K89" s="109">
        <v>12.884199999999996</v>
      </c>
      <c r="L89" s="109">
        <v>0</v>
      </c>
      <c r="M89" s="109">
        <v>0</v>
      </c>
      <c r="N89" s="109">
        <v>0</v>
      </c>
      <c r="O89" s="109">
        <v>3031.6704000000004</v>
      </c>
    </row>
    <row r="90" spans="2:15" ht="12.75" customHeight="1">
      <c r="B90" s="729"/>
      <c r="C90" s="731" t="s">
        <v>183</v>
      </c>
      <c r="D90" s="107">
        <v>2010</v>
      </c>
      <c r="E90" s="108">
        <v>48.886299999999984</v>
      </c>
      <c r="F90" s="109">
        <v>394.85430000000008</v>
      </c>
      <c r="G90" s="109">
        <v>861.93290000000002</v>
      </c>
      <c r="H90" s="109">
        <v>611.77020000000016</v>
      </c>
      <c r="I90" s="109">
        <v>1188.7477999999996</v>
      </c>
      <c r="J90" s="109">
        <v>7.05</v>
      </c>
      <c r="K90" s="109">
        <v>17.450299999999995</v>
      </c>
      <c r="L90" s="109">
        <v>0</v>
      </c>
      <c r="M90" s="109">
        <v>0</v>
      </c>
      <c r="N90" s="109">
        <v>0</v>
      </c>
      <c r="O90" s="109">
        <v>3130.6918000000005</v>
      </c>
    </row>
    <row r="91" spans="2:15" ht="12.75" customHeight="1">
      <c r="B91" s="729"/>
      <c r="C91" s="731" t="s">
        <v>183</v>
      </c>
      <c r="D91" s="107">
        <v>2011</v>
      </c>
      <c r="E91" s="108">
        <v>33.734200000000001</v>
      </c>
      <c r="F91" s="109">
        <v>339.09170000000006</v>
      </c>
      <c r="G91" s="109">
        <v>873.97270000000003</v>
      </c>
      <c r="H91" s="109">
        <v>579.30730000000005</v>
      </c>
      <c r="I91" s="109">
        <v>1239.3331000000003</v>
      </c>
      <c r="J91" s="109">
        <v>1.5</v>
      </c>
      <c r="K91" s="109">
        <v>14.5</v>
      </c>
      <c r="L91" s="109">
        <v>0</v>
      </c>
      <c r="M91" s="109">
        <v>0</v>
      </c>
      <c r="N91" s="109">
        <v>0</v>
      </c>
      <c r="O91" s="109">
        <v>3081.4389999999999</v>
      </c>
    </row>
    <row r="92" spans="2:15" ht="12.75" customHeight="1">
      <c r="B92" s="729"/>
      <c r="C92" s="731" t="s">
        <v>183</v>
      </c>
      <c r="D92" s="107">
        <v>2012</v>
      </c>
      <c r="E92" s="108">
        <v>31</v>
      </c>
      <c r="F92" s="109">
        <v>294.85000000000008</v>
      </c>
      <c r="G92" s="109">
        <v>845.17169999999987</v>
      </c>
      <c r="H92" s="109">
        <v>593.19770000000005</v>
      </c>
      <c r="I92" s="109">
        <v>1231.133</v>
      </c>
      <c r="J92" s="109">
        <v>0</v>
      </c>
      <c r="K92" s="109">
        <v>43.418199999999999</v>
      </c>
      <c r="L92" s="109">
        <v>0</v>
      </c>
      <c r="M92" s="109">
        <v>0</v>
      </c>
      <c r="N92" s="109">
        <v>0</v>
      </c>
      <c r="O92" s="109">
        <v>3038.7705999999998</v>
      </c>
    </row>
    <row r="93" spans="2:15" ht="12.75" customHeight="1">
      <c r="B93" s="729"/>
      <c r="C93" s="732" t="s">
        <v>183</v>
      </c>
      <c r="D93" s="115">
        <v>2013</v>
      </c>
      <c r="E93" s="112">
        <v>31</v>
      </c>
      <c r="F93" s="113">
        <v>334.38839999999993</v>
      </c>
      <c r="G93" s="113">
        <v>844.54469999999992</v>
      </c>
      <c r="H93" s="113">
        <v>498.54159999999985</v>
      </c>
      <c r="I93" s="113">
        <v>1205.1307000000004</v>
      </c>
      <c r="J93" s="113">
        <v>0</v>
      </c>
      <c r="K93" s="113">
        <v>83.75</v>
      </c>
      <c r="L93" s="113">
        <v>0</v>
      </c>
      <c r="M93" s="113">
        <v>0</v>
      </c>
      <c r="N93" s="113">
        <v>0</v>
      </c>
      <c r="O93" s="113">
        <v>2997.3554000000008</v>
      </c>
    </row>
    <row r="94" spans="2:15">
      <c r="B94" s="729"/>
      <c r="C94" s="728" t="s">
        <v>184</v>
      </c>
      <c r="D94" s="107">
        <v>2006</v>
      </c>
      <c r="E94" s="108">
        <v>45.771500000000003</v>
      </c>
      <c r="F94" s="109">
        <v>556.45360000000005</v>
      </c>
      <c r="G94" s="109">
        <v>496.16149999999988</v>
      </c>
      <c r="H94" s="109">
        <v>1936.2176999999999</v>
      </c>
      <c r="I94" s="109">
        <v>1666.0969999999998</v>
      </c>
      <c r="J94" s="109">
        <v>3453.4992000000002</v>
      </c>
      <c r="K94" s="109">
        <v>190.50919999999996</v>
      </c>
      <c r="L94" s="109">
        <v>83.728200000000015</v>
      </c>
      <c r="M94" s="109">
        <v>187.15030000000004</v>
      </c>
      <c r="N94" s="109">
        <v>6.8743999999999996</v>
      </c>
      <c r="O94" s="109">
        <v>8622.4626000000007</v>
      </c>
    </row>
    <row r="95" spans="2:15" ht="12.75" customHeight="1">
      <c r="B95" s="729"/>
      <c r="C95" s="731" t="s">
        <v>184</v>
      </c>
      <c r="D95" s="107">
        <v>2007</v>
      </c>
      <c r="E95" s="108">
        <v>44.297499999999999</v>
      </c>
      <c r="F95" s="109">
        <v>540.79210000000012</v>
      </c>
      <c r="G95" s="109">
        <v>561.64499999999987</v>
      </c>
      <c r="H95" s="109">
        <v>1927.2910999999983</v>
      </c>
      <c r="I95" s="109">
        <v>1732.0984999999996</v>
      </c>
      <c r="J95" s="109">
        <v>3340.1664999999998</v>
      </c>
      <c r="K95" s="109">
        <v>164.73990000000003</v>
      </c>
      <c r="L95" s="109">
        <v>95.6708</v>
      </c>
      <c r="M95" s="109">
        <v>171.15350000000004</v>
      </c>
      <c r="N95" s="109">
        <v>7.5609999999999999</v>
      </c>
      <c r="O95" s="109">
        <v>8585.4158999999981</v>
      </c>
    </row>
    <row r="96" spans="2:15" ht="12.75" customHeight="1">
      <c r="B96" s="729"/>
      <c r="C96" s="731" t="s">
        <v>184</v>
      </c>
      <c r="D96" s="107">
        <v>2008</v>
      </c>
      <c r="E96" s="108">
        <v>42.172900000000006</v>
      </c>
      <c r="F96" s="109">
        <v>531.49800000000005</v>
      </c>
      <c r="G96" s="109">
        <v>568.42930000000013</v>
      </c>
      <c r="H96" s="109">
        <v>1701.7826999999997</v>
      </c>
      <c r="I96" s="109">
        <v>1804.0380999999998</v>
      </c>
      <c r="J96" s="109">
        <v>3401.5128</v>
      </c>
      <c r="K96" s="109">
        <v>188.06890000000001</v>
      </c>
      <c r="L96" s="109">
        <v>118.23319999999997</v>
      </c>
      <c r="M96" s="109">
        <v>197.51570000000001</v>
      </c>
      <c r="N96" s="109">
        <v>8.6069999999999993</v>
      </c>
      <c r="O96" s="109">
        <v>8561.8585999999996</v>
      </c>
    </row>
    <row r="97" spans="2:15" ht="12.75" customHeight="1">
      <c r="B97" s="729"/>
      <c r="C97" s="731" t="s">
        <v>184</v>
      </c>
      <c r="D97" s="107">
        <v>2009</v>
      </c>
      <c r="E97" s="108">
        <v>48.737000000000002</v>
      </c>
      <c r="F97" s="109">
        <v>838.29290000000015</v>
      </c>
      <c r="G97" s="109">
        <v>772.42040000000054</v>
      </c>
      <c r="H97" s="109">
        <v>1895.4975000000004</v>
      </c>
      <c r="I97" s="109">
        <v>2013.8180999999997</v>
      </c>
      <c r="J97" s="109">
        <v>3685.6675999999975</v>
      </c>
      <c r="K97" s="109">
        <v>156.99780000000001</v>
      </c>
      <c r="L97" s="109">
        <v>157.50299999999996</v>
      </c>
      <c r="M97" s="109">
        <v>244.02510000000007</v>
      </c>
      <c r="N97" s="109">
        <v>4.7686000000000002</v>
      </c>
      <c r="O97" s="109">
        <v>9817.7279999999973</v>
      </c>
    </row>
    <row r="98" spans="2:15" ht="12.75" customHeight="1">
      <c r="B98" s="729"/>
      <c r="C98" s="731" t="s">
        <v>184</v>
      </c>
      <c r="D98" s="107">
        <v>2010</v>
      </c>
      <c r="E98" s="108">
        <v>52.355900000000013</v>
      </c>
      <c r="F98" s="109">
        <v>724.71950000000015</v>
      </c>
      <c r="G98" s="109">
        <v>960.40120000000059</v>
      </c>
      <c r="H98" s="109">
        <v>1686.1122999999998</v>
      </c>
      <c r="I98" s="109">
        <v>1981.5544000000002</v>
      </c>
      <c r="J98" s="109">
        <v>3981.15</v>
      </c>
      <c r="K98" s="109">
        <v>181.45720000000003</v>
      </c>
      <c r="L98" s="109">
        <v>176.25</v>
      </c>
      <c r="M98" s="109">
        <v>279.70350000000002</v>
      </c>
      <c r="N98" s="109">
        <v>4.2523999999999997</v>
      </c>
      <c r="O98" s="109">
        <v>10027.956399999994</v>
      </c>
    </row>
    <row r="99" spans="2:15" ht="12.75" customHeight="1">
      <c r="B99" s="729"/>
      <c r="C99" s="731" t="s">
        <v>184</v>
      </c>
      <c r="D99" s="107">
        <v>2011</v>
      </c>
      <c r="E99" s="108">
        <v>53.631199999999986</v>
      </c>
      <c r="F99" s="109">
        <v>758.45230000000004</v>
      </c>
      <c r="G99" s="109">
        <v>729.15539999999987</v>
      </c>
      <c r="H99" s="109">
        <v>1660.8785999999998</v>
      </c>
      <c r="I99" s="109">
        <v>2086.9521999999997</v>
      </c>
      <c r="J99" s="109">
        <v>4182.3238999999994</v>
      </c>
      <c r="K99" s="109">
        <v>224.32959999999997</v>
      </c>
      <c r="L99" s="109">
        <v>170.20859999999999</v>
      </c>
      <c r="M99" s="109">
        <v>310.62119999999999</v>
      </c>
      <c r="N99" s="109">
        <v>5.3452999999999991</v>
      </c>
      <c r="O99" s="109">
        <v>10181.898299999999</v>
      </c>
    </row>
    <row r="100" spans="2:15" ht="12.75" customHeight="1">
      <c r="B100" s="729"/>
      <c r="C100" s="731" t="s">
        <v>184</v>
      </c>
      <c r="D100" s="107">
        <v>2012</v>
      </c>
      <c r="E100" s="108">
        <v>49.088799999999999</v>
      </c>
      <c r="F100" s="109">
        <v>532.36579999999992</v>
      </c>
      <c r="G100" s="109">
        <v>781.3370000000001</v>
      </c>
      <c r="H100" s="109">
        <v>1876.5997</v>
      </c>
      <c r="I100" s="109">
        <v>2128.4019999999996</v>
      </c>
      <c r="J100" s="109">
        <v>4221.8400000000011</v>
      </c>
      <c r="K100" s="109">
        <v>253.30969999999999</v>
      </c>
      <c r="L100" s="109">
        <v>182.54140000000001</v>
      </c>
      <c r="M100" s="109">
        <v>307.93489999999991</v>
      </c>
      <c r="N100" s="109">
        <v>7.0709999999999988</v>
      </c>
      <c r="O100" s="109">
        <v>10340.490299999998</v>
      </c>
    </row>
    <row r="101" spans="2:15" ht="12.75" customHeight="1">
      <c r="B101" s="729"/>
      <c r="C101" s="732" t="s">
        <v>184</v>
      </c>
      <c r="D101" s="115">
        <v>2013</v>
      </c>
      <c r="E101" s="112">
        <v>50.197200000000009</v>
      </c>
      <c r="F101" s="113">
        <v>200.375</v>
      </c>
      <c r="G101" s="113">
        <v>805.0834000000001</v>
      </c>
      <c r="H101" s="113">
        <v>2050.2213000000002</v>
      </c>
      <c r="I101" s="113">
        <v>1678.8134999999997</v>
      </c>
      <c r="J101" s="113">
        <v>4275.6936999999998</v>
      </c>
      <c r="K101" s="113">
        <v>227.89350000000005</v>
      </c>
      <c r="L101" s="113">
        <v>144.8125</v>
      </c>
      <c r="M101" s="113">
        <v>275.75020000000006</v>
      </c>
      <c r="N101" s="113">
        <v>8.1205999999999996</v>
      </c>
      <c r="O101" s="113">
        <v>9716.9609</v>
      </c>
    </row>
    <row r="102" spans="2:15">
      <c r="B102" s="729"/>
      <c r="C102" s="728" t="s">
        <v>230</v>
      </c>
      <c r="D102" s="107">
        <v>2006</v>
      </c>
      <c r="E102" s="108">
        <v>51.54849999999999</v>
      </c>
      <c r="F102" s="109">
        <v>817.13939999999991</v>
      </c>
      <c r="G102" s="109">
        <v>536.23900000000003</v>
      </c>
      <c r="H102" s="109">
        <v>1028.0815999999998</v>
      </c>
      <c r="I102" s="109">
        <v>1530.4363000000003</v>
      </c>
      <c r="J102" s="109">
        <v>1446.5878</v>
      </c>
      <c r="K102" s="109">
        <v>127.8378</v>
      </c>
      <c r="L102" s="109">
        <v>0</v>
      </c>
      <c r="M102" s="109">
        <v>0</v>
      </c>
      <c r="N102" s="109">
        <v>0</v>
      </c>
      <c r="O102" s="109">
        <v>5537.8703999999916</v>
      </c>
    </row>
    <row r="103" spans="2:15" ht="12.75" customHeight="1">
      <c r="B103" s="729"/>
      <c r="C103" s="731" t="s">
        <v>231</v>
      </c>
      <c r="D103" s="107">
        <v>2007</v>
      </c>
      <c r="E103" s="108">
        <v>46.971600000000009</v>
      </c>
      <c r="F103" s="109">
        <v>563.81620000000009</v>
      </c>
      <c r="G103" s="109">
        <v>540.26749999999993</v>
      </c>
      <c r="H103" s="109">
        <v>1181.8973000000001</v>
      </c>
      <c r="I103" s="109">
        <v>1472.2044000000001</v>
      </c>
      <c r="J103" s="109">
        <v>1532.3402999999989</v>
      </c>
      <c r="K103" s="109">
        <v>138.67169999999996</v>
      </c>
      <c r="L103" s="109">
        <v>0</v>
      </c>
      <c r="M103" s="109">
        <v>0</v>
      </c>
      <c r="N103" s="109">
        <v>0</v>
      </c>
      <c r="O103" s="109">
        <v>5476.1690000000017</v>
      </c>
    </row>
    <row r="104" spans="2:15" ht="12.75" customHeight="1">
      <c r="B104" s="729"/>
      <c r="C104" s="731" t="s">
        <v>231</v>
      </c>
      <c r="D104" s="107">
        <v>2008</v>
      </c>
      <c r="E104" s="108">
        <v>45.830299999999994</v>
      </c>
      <c r="F104" s="109">
        <v>525.06079999999997</v>
      </c>
      <c r="G104" s="109">
        <v>768.13329999999939</v>
      </c>
      <c r="H104" s="109">
        <v>1197.6211000000003</v>
      </c>
      <c r="I104" s="109">
        <v>1333.3999000000003</v>
      </c>
      <c r="J104" s="109">
        <v>1534.0166000000004</v>
      </c>
      <c r="K104" s="109">
        <v>130.77079999999989</v>
      </c>
      <c r="L104" s="109">
        <v>0</v>
      </c>
      <c r="M104" s="109">
        <v>0</v>
      </c>
      <c r="N104" s="109">
        <v>0</v>
      </c>
      <c r="O104" s="109">
        <v>5534.832800000001</v>
      </c>
    </row>
    <row r="105" spans="2:15" ht="12.75" customHeight="1">
      <c r="B105" s="729"/>
      <c r="C105" s="731" t="s">
        <v>231</v>
      </c>
      <c r="D105" s="107">
        <v>2009</v>
      </c>
      <c r="E105" s="108">
        <v>47.875</v>
      </c>
      <c r="F105" s="109">
        <v>562.15839999999992</v>
      </c>
      <c r="G105" s="109">
        <v>948.49459999999976</v>
      </c>
      <c r="H105" s="109">
        <v>1160.1721</v>
      </c>
      <c r="I105" s="109">
        <v>1398.3291000000004</v>
      </c>
      <c r="J105" s="109">
        <v>1762.9280000000003</v>
      </c>
      <c r="K105" s="109">
        <v>156.97100000000003</v>
      </c>
      <c r="L105" s="109">
        <v>0</v>
      </c>
      <c r="M105" s="109">
        <v>0</v>
      </c>
      <c r="N105" s="109">
        <v>0</v>
      </c>
      <c r="O105" s="109">
        <v>6036.9282000000012</v>
      </c>
    </row>
    <row r="106" spans="2:15" ht="12.75" customHeight="1">
      <c r="B106" s="729"/>
      <c r="C106" s="731" t="s">
        <v>231</v>
      </c>
      <c r="D106" s="107">
        <v>2010</v>
      </c>
      <c r="E106" s="108">
        <v>36.61</v>
      </c>
      <c r="F106" s="109">
        <v>537.30979999999988</v>
      </c>
      <c r="G106" s="109">
        <v>751.24429999999995</v>
      </c>
      <c r="H106" s="109">
        <v>1010.6114999999999</v>
      </c>
      <c r="I106" s="109">
        <v>1419.4251999999999</v>
      </c>
      <c r="J106" s="109">
        <v>2022.7627000000002</v>
      </c>
      <c r="K106" s="109">
        <v>192.4032</v>
      </c>
      <c r="L106" s="109">
        <v>0</v>
      </c>
      <c r="M106" s="109">
        <v>0</v>
      </c>
      <c r="N106" s="109">
        <v>0</v>
      </c>
      <c r="O106" s="109">
        <v>5970.3667000000014</v>
      </c>
    </row>
    <row r="107" spans="2:15" ht="12.75" customHeight="1">
      <c r="B107" s="729"/>
      <c r="C107" s="731" t="s">
        <v>231</v>
      </c>
      <c r="D107" s="107">
        <v>2011</v>
      </c>
      <c r="E107" s="108">
        <v>31.566700000000001</v>
      </c>
      <c r="F107" s="109">
        <v>546.13659999999982</v>
      </c>
      <c r="G107" s="109">
        <v>578.85209999999984</v>
      </c>
      <c r="H107" s="109">
        <v>714.30219999999997</v>
      </c>
      <c r="I107" s="109">
        <v>1186.8602000000001</v>
      </c>
      <c r="J107" s="109">
        <v>2151.1149000000005</v>
      </c>
      <c r="K107" s="109">
        <v>137.9572</v>
      </c>
      <c r="L107" s="109">
        <v>0</v>
      </c>
      <c r="M107" s="109">
        <v>0</v>
      </c>
      <c r="N107" s="109">
        <v>0</v>
      </c>
      <c r="O107" s="109">
        <v>5346.7898999999989</v>
      </c>
    </row>
    <row r="108" spans="2:15" ht="12.75" customHeight="1">
      <c r="B108" s="729"/>
      <c r="C108" s="731" t="s">
        <v>231</v>
      </c>
      <c r="D108" s="107">
        <v>2012</v>
      </c>
      <c r="E108" s="108">
        <v>30.075099999999999</v>
      </c>
      <c r="F108" s="109">
        <v>778.53140000000008</v>
      </c>
      <c r="G108" s="109">
        <v>675.7681</v>
      </c>
      <c r="H108" s="109">
        <v>673.81939999999997</v>
      </c>
      <c r="I108" s="109">
        <v>1225.1574000000003</v>
      </c>
      <c r="J108" s="109">
        <v>2348.4501000000014</v>
      </c>
      <c r="K108" s="109">
        <v>198.48310000000001</v>
      </c>
      <c r="L108" s="109">
        <v>0</v>
      </c>
      <c r="M108" s="109">
        <v>0</v>
      </c>
      <c r="N108" s="109">
        <v>0</v>
      </c>
      <c r="O108" s="109">
        <v>5930.2846000000009</v>
      </c>
    </row>
    <row r="109" spans="2:15" ht="12.75" customHeight="1">
      <c r="B109" s="729"/>
      <c r="C109" s="732" t="s">
        <v>231</v>
      </c>
      <c r="D109" s="115">
        <v>2013</v>
      </c>
      <c r="E109" s="112">
        <v>33.516799999999996</v>
      </c>
      <c r="F109" s="113">
        <v>602.94320000000016</v>
      </c>
      <c r="G109" s="113">
        <v>760.92229999999995</v>
      </c>
      <c r="H109" s="113">
        <v>788.91939999999988</v>
      </c>
      <c r="I109" s="113">
        <v>1231.8280000000004</v>
      </c>
      <c r="J109" s="113">
        <v>2463.8613</v>
      </c>
      <c r="K109" s="113">
        <v>211.80519999999996</v>
      </c>
      <c r="L109" s="113">
        <v>0</v>
      </c>
      <c r="M109" s="113">
        <v>0</v>
      </c>
      <c r="N109" s="113">
        <v>0</v>
      </c>
      <c r="O109" s="113">
        <v>6093.7962000000016</v>
      </c>
    </row>
    <row r="110" spans="2:15">
      <c r="B110" s="729"/>
      <c r="C110" s="728" t="s">
        <v>186</v>
      </c>
      <c r="D110" s="107">
        <v>2006</v>
      </c>
      <c r="E110" s="108">
        <v>62.905200000000015</v>
      </c>
      <c r="F110" s="109">
        <v>403.59139999999991</v>
      </c>
      <c r="G110" s="109">
        <v>251.9984</v>
      </c>
      <c r="H110" s="109">
        <v>537.97200000000009</v>
      </c>
      <c r="I110" s="109">
        <v>625.09540000000015</v>
      </c>
      <c r="J110" s="109">
        <v>763.02229999999986</v>
      </c>
      <c r="K110" s="109">
        <v>0</v>
      </c>
      <c r="L110" s="109">
        <v>26.5</v>
      </c>
      <c r="M110" s="109">
        <v>18.5</v>
      </c>
      <c r="N110" s="109">
        <v>0</v>
      </c>
      <c r="O110" s="109">
        <v>2689.5847000000008</v>
      </c>
    </row>
    <row r="111" spans="2:15" ht="12.75" customHeight="1">
      <c r="B111" s="729"/>
      <c r="C111" s="731" t="s">
        <v>186</v>
      </c>
      <c r="D111" s="107">
        <v>2007</v>
      </c>
      <c r="E111" s="108">
        <v>56.617599999999989</v>
      </c>
      <c r="F111" s="109">
        <v>501.43830000000014</v>
      </c>
      <c r="G111" s="109">
        <v>250.12110000000015</v>
      </c>
      <c r="H111" s="109">
        <v>462.68479999999988</v>
      </c>
      <c r="I111" s="109">
        <v>622.06249999999989</v>
      </c>
      <c r="J111" s="109">
        <v>730.47910000000013</v>
      </c>
      <c r="K111" s="109">
        <v>6.0417000000000014</v>
      </c>
      <c r="L111" s="109">
        <v>40.25</v>
      </c>
      <c r="M111" s="109">
        <v>12.25</v>
      </c>
      <c r="N111" s="109">
        <v>0</v>
      </c>
      <c r="O111" s="109">
        <v>2681.9450999999995</v>
      </c>
    </row>
    <row r="112" spans="2:15" ht="12.75" customHeight="1">
      <c r="B112" s="729"/>
      <c r="C112" s="731" t="s">
        <v>186</v>
      </c>
      <c r="D112" s="107">
        <v>2008</v>
      </c>
      <c r="E112" s="108">
        <v>43.63150000000001</v>
      </c>
      <c r="F112" s="109">
        <v>460.60520000000031</v>
      </c>
      <c r="G112" s="109">
        <v>366.209</v>
      </c>
      <c r="H112" s="109">
        <v>460.36670000000004</v>
      </c>
      <c r="I112" s="109">
        <v>651.09570000000008</v>
      </c>
      <c r="J112" s="109">
        <v>739.42469999999992</v>
      </c>
      <c r="K112" s="109">
        <v>8.5210000000000008</v>
      </c>
      <c r="L112" s="109">
        <v>39.75</v>
      </c>
      <c r="M112" s="109">
        <v>14.5</v>
      </c>
      <c r="N112" s="109">
        <v>0</v>
      </c>
      <c r="O112" s="109">
        <v>2784.1038000000008</v>
      </c>
    </row>
    <row r="113" spans="2:15" ht="12.75" customHeight="1">
      <c r="B113" s="729"/>
      <c r="C113" s="731" t="s">
        <v>186</v>
      </c>
      <c r="D113" s="107">
        <v>2009</v>
      </c>
      <c r="E113" s="108">
        <v>76.491600000000005</v>
      </c>
      <c r="F113" s="109">
        <v>357.98390000000001</v>
      </c>
      <c r="G113" s="109">
        <v>425.6662</v>
      </c>
      <c r="H113" s="109">
        <v>446.76499999999993</v>
      </c>
      <c r="I113" s="109">
        <v>692.28530000000012</v>
      </c>
      <c r="J113" s="109">
        <v>770.38700000000017</v>
      </c>
      <c r="K113" s="109">
        <v>30.125300000000006</v>
      </c>
      <c r="L113" s="109">
        <v>45</v>
      </c>
      <c r="M113" s="109">
        <v>10.75</v>
      </c>
      <c r="N113" s="109">
        <v>0</v>
      </c>
      <c r="O113" s="109">
        <v>2855.4543000000008</v>
      </c>
    </row>
    <row r="114" spans="2:15" ht="12.75" customHeight="1">
      <c r="B114" s="729"/>
      <c r="C114" s="731" t="s">
        <v>186</v>
      </c>
      <c r="D114" s="107">
        <v>2010</v>
      </c>
      <c r="E114" s="108">
        <v>134.47659999999996</v>
      </c>
      <c r="F114" s="109">
        <v>385.79929999999996</v>
      </c>
      <c r="G114" s="109">
        <v>422.80539999999996</v>
      </c>
      <c r="H114" s="109">
        <v>463.88830000000002</v>
      </c>
      <c r="I114" s="109">
        <v>668.4905</v>
      </c>
      <c r="J114" s="109">
        <v>919.72709999999984</v>
      </c>
      <c r="K114" s="109">
        <v>41.646299999999997</v>
      </c>
      <c r="L114" s="109">
        <v>35.25</v>
      </c>
      <c r="M114" s="109">
        <v>8.75</v>
      </c>
      <c r="N114" s="109">
        <v>0</v>
      </c>
      <c r="O114" s="109">
        <v>3080.8334999999993</v>
      </c>
    </row>
    <row r="115" spans="2:15" ht="12.75" customHeight="1">
      <c r="B115" s="729"/>
      <c r="C115" s="731" t="s">
        <v>186</v>
      </c>
      <c r="D115" s="107">
        <v>2011</v>
      </c>
      <c r="E115" s="108">
        <v>352.95830000000007</v>
      </c>
      <c r="F115" s="109">
        <v>800.92699999999991</v>
      </c>
      <c r="G115" s="109">
        <v>691.59340000000009</v>
      </c>
      <c r="H115" s="109">
        <v>470.38299999999998</v>
      </c>
      <c r="I115" s="109">
        <v>588.03950000000009</v>
      </c>
      <c r="J115" s="109">
        <v>1189.7520000000004</v>
      </c>
      <c r="K115" s="109">
        <v>52.2087</v>
      </c>
      <c r="L115" s="109">
        <v>48.95</v>
      </c>
      <c r="M115" s="109">
        <v>11</v>
      </c>
      <c r="N115" s="109">
        <v>0</v>
      </c>
      <c r="O115" s="109">
        <v>4205.8118999999997</v>
      </c>
    </row>
    <row r="116" spans="2:15" ht="12.75" customHeight="1">
      <c r="B116" s="729"/>
      <c r="C116" s="731" t="s">
        <v>186</v>
      </c>
      <c r="D116" s="107">
        <v>2012</v>
      </c>
      <c r="E116" s="108">
        <v>395.41930000000002</v>
      </c>
      <c r="F116" s="109">
        <v>838.35760000000005</v>
      </c>
      <c r="G116" s="109">
        <v>732.24099999999987</v>
      </c>
      <c r="H116" s="109">
        <v>474.97890000000001</v>
      </c>
      <c r="I116" s="109">
        <v>521.05259999999998</v>
      </c>
      <c r="J116" s="109">
        <v>1204.3665999999996</v>
      </c>
      <c r="K116" s="109">
        <v>43.958799999999997</v>
      </c>
      <c r="L116" s="109">
        <v>59.5</v>
      </c>
      <c r="M116" s="109">
        <v>15.5</v>
      </c>
      <c r="N116" s="109">
        <v>0</v>
      </c>
      <c r="O116" s="109">
        <v>4285.3747999999996</v>
      </c>
    </row>
    <row r="117" spans="2:15" ht="12.75" customHeight="1">
      <c r="B117" s="729"/>
      <c r="C117" s="732" t="s">
        <v>186</v>
      </c>
      <c r="D117" s="115">
        <v>2013</v>
      </c>
      <c r="E117" s="112">
        <v>223.7809</v>
      </c>
      <c r="F117" s="113">
        <v>669.37289999999985</v>
      </c>
      <c r="G117" s="113">
        <v>853.12</v>
      </c>
      <c r="H117" s="113">
        <v>476.32439999999986</v>
      </c>
      <c r="I117" s="113">
        <v>510.11049999999989</v>
      </c>
      <c r="J117" s="113">
        <v>1237.1521</v>
      </c>
      <c r="K117" s="113">
        <v>48.638800000000003</v>
      </c>
      <c r="L117" s="113">
        <v>61</v>
      </c>
      <c r="M117" s="113">
        <v>13.75</v>
      </c>
      <c r="N117" s="113">
        <v>0</v>
      </c>
      <c r="O117" s="113">
        <v>4093.2496000000001</v>
      </c>
    </row>
    <row r="118" spans="2:15">
      <c r="B118" s="729"/>
      <c r="C118" s="728" t="s">
        <v>187</v>
      </c>
      <c r="D118" s="107">
        <v>2006</v>
      </c>
      <c r="E118" s="108">
        <v>61.557600000000001</v>
      </c>
      <c r="F118" s="109">
        <v>326.88449999999995</v>
      </c>
      <c r="G118" s="109">
        <v>569.97600000000011</v>
      </c>
      <c r="H118" s="109">
        <v>1474.8337000000004</v>
      </c>
      <c r="I118" s="109">
        <v>790.1554000000001</v>
      </c>
      <c r="J118" s="109">
        <v>447.6309</v>
      </c>
      <c r="K118" s="109">
        <v>0.66669999999999996</v>
      </c>
      <c r="L118" s="109">
        <v>0</v>
      </c>
      <c r="M118" s="109">
        <v>0</v>
      </c>
      <c r="N118" s="109">
        <v>0</v>
      </c>
      <c r="O118" s="109">
        <v>3671.7048000000004</v>
      </c>
    </row>
    <row r="119" spans="2:15" ht="12.75" customHeight="1">
      <c r="B119" s="729"/>
      <c r="C119" s="731" t="s">
        <v>187</v>
      </c>
      <c r="D119" s="107">
        <v>2007</v>
      </c>
      <c r="E119" s="108">
        <v>65.342999999999989</v>
      </c>
      <c r="F119" s="109">
        <v>344.17190000000005</v>
      </c>
      <c r="G119" s="109">
        <v>618.67689999999982</v>
      </c>
      <c r="H119" s="109">
        <v>1488.4445000000003</v>
      </c>
      <c r="I119" s="109">
        <v>923.30029999999999</v>
      </c>
      <c r="J119" s="109">
        <v>453.86399999999998</v>
      </c>
      <c r="K119" s="109">
        <v>11.834400000000004</v>
      </c>
      <c r="L119" s="109">
        <v>0</v>
      </c>
      <c r="M119" s="109">
        <v>0</v>
      </c>
      <c r="N119" s="109">
        <v>0</v>
      </c>
      <c r="O119" s="109">
        <v>3905.6350000000007</v>
      </c>
    </row>
    <row r="120" spans="2:15" ht="12.75" customHeight="1">
      <c r="B120" s="729"/>
      <c r="C120" s="731" t="s">
        <v>187</v>
      </c>
      <c r="D120" s="107">
        <v>2008</v>
      </c>
      <c r="E120" s="108">
        <v>56.485900000000001</v>
      </c>
      <c r="F120" s="109">
        <v>307.92160000000007</v>
      </c>
      <c r="G120" s="109">
        <v>625.51119999999992</v>
      </c>
      <c r="H120" s="109">
        <v>1556.4634999999996</v>
      </c>
      <c r="I120" s="109">
        <v>913.9289</v>
      </c>
      <c r="J120" s="109">
        <v>443.95260000000002</v>
      </c>
      <c r="K120" s="109">
        <v>47.225200000000001</v>
      </c>
      <c r="L120" s="109">
        <v>0</v>
      </c>
      <c r="M120" s="109">
        <v>0</v>
      </c>
      <c r="N120" s="109">
        <v>0</v>
      </c>
      <c r="O120" s="109">
        <v>3951.4889000000007</v>
      </c>
    </row>
    <row r="121" spans="2:15" ht="12.75" customHeight="1">
      <c r="B121" s="729"/>
      <c r="C121" s="731" t="s">
        <v>187</v>
      </c>
      <c r="D121" s="107">
        <v>2009</v>
      </c>
      <c r="E121" s="108">
        <v>50.579100000000011</v>
      </c>
      <c r="F121" s="109">
        <v>332.70409999999993</v>
      </c>
      <c r="G121" s="109">
        <v>520.10729999999967</v>
      </c>
      <c r="H121" s="109">
        <v>1448.6289999999997</v>
      </c>
      <c r="I121" s="109">
        <v>1030.2731000000001</v>
      </c>
      <c r="J121" s="109">
        <v>535.06770000000017</v>
      </c>
      <c r="K121" s="109">
        <v>53.117800000000003</v>
      </c>
      <c r="L121" s="109">
        <v>0</v>
      </c>
      <c r="M121" s="109">
        <v>0</v>
      </c>
      <c r="N121" s="109">
        <v>0</v>
      </c>
      <c r="O121" s="109">
        <v>3970.4781000000007</v>
      </c>
    </row>
    <row r="122" spans="2:15" ht="12.75" customHeight="1">
      <c r="B122" s="729"/>
      <c r="C122" s="731" t="s">
        <v>187</v>
      </c>
      <c r="D122" s="107">
        <v>2010</v>
      </c>
      <c r="E122" s="108">
        <v>62.4313</v>
      </c>
      <c r="F122" s="109">
        <v>317.61619999999999</v>
      </c>
      <c r="G122" s="109">
        <v>637.67780000000016</v>
      </c>
      <c r="H122" s="109">
        <v>1341.8714999999997</v>
      </c>
      <c r="I122" s="109">
        <v>871.46609999999998</v>
      </c>
      <c r="J122" s="109">
        <v>672.86840000000018</v>
      </c>
      <c r="K122" s="109">
        <v>61.917700000000004</v>
      </c>
      <c r="L122" s="109">
        <v>0</v>
      </c>
      <c r="M122" s="109">
        <v>0</v>
      </c>
      <c r="N122" s="109">
        <v>0</v>
      </c>
      <c r="O122" s="109">
        <v>3965.8489999999993</v>
      </c>
    </row>
    <row r="123" spans="2:15" ht="12.75" customHeight="1">
      <c r="B123" s="729"/>
      <c r="C123" s="731" t="s">
        <v>187</v>
      </c>
      <c r="D123" s="107">
        <v>2011</v>
      </c>
      <c r="E123" s="108">
        <v>70.09190000000001</v>
      </c>
      <c r="F123" s="109">
        <v>418.58609999999993</v>
      </c>
      <c r="G123" s="109">
        <v>676.97829999999988</v>
      </c>
      <c r="H123" s="109">
        <v>1331.9238999999998</v>
      </c>
      <c r="I123" s="109">
        <v>919.0752</v>
      </c>
      <c r="J123" s="109">
        <v>772.79469999999992</v>
      </c>
      <c r="K123" s="109">
        <v>49.164999999999999</v>
      </c>
      <c r="L123" s="109">
        <v>0</v>
      </c>
      <c r="M123" s="109">
        <v>0</v>
      </c>
      <c r="N123" s="109">
        <v>0</v>
      </c>
      <c r="O123" s="109">
        <v>4238.6151</v>
      </c>
    </row>
    <row r="124" spans="2:15" ht="12.75" customHeight="1">
      <c r="B124" s="729"/>
      <c r="C124" s="731" t="s">
        <v>187</v>
      </c>
      <c r="D124" s="107">
        <v>2012</v>
      </c>
      <c r="E124" s="108">
        <v>54.535200000000003</v>
      </c>
      <c r="F124" s="109">
        <v>398.80489999999992</v>
      </c>
      <c r="G124" s="109">
        <v>713.01919999999984</v>
      </c>
      <c r="H124" s="109">
        <v>1079.7351000000001</v>
      </c>
      <c r="I124" s="109">
        <v>903.54700000000014</v>
      </c>
      <c r="J124" s="109">
        <v>821.80010000000016</v>
      </c>
      <c r="K124" s="109">
        <v>92.721600000000024</v>
      </c>
      <c r="L124" s="109">
        <v>0</v>
      </c>
      <c r="M124" s="109">
        <v>0</v>
      </c>
      <c r="N124" s="109">
        <v>0</v>
      </c>
      <c r="O124" s="109">
        <v>4064.1631000000007</v>
      </c>
    </row>
    <row r="125" spans="2:15" ht="12.75" customHeight="1">
      <c r="B125" s="729"/>
      <c r="C125" s="732" t="s">
        <v>187</v>
      </c>
      <c r="D125" s="115">
        <v>2013</v>
      </c>
      <c r="E125" s="112">
        <v>42.084400000000009</v>
      </c>
      <c r="F125" s="113">
        <v>301.25309999999996</v>
      </c>
      <c r="G125" s="113">
        <v>777.19599999999991</v>
      </c>
      <c r="H125" s="113">
        <v>1003.4294000000007</v>
      </c>
      <c r="I125" s="113">
        <v>862.2247000000001</v>
      </c>
      <c r="J125" s="113">
        <v>795.68379999999991</v>
      </c>
      <c r="K125" s="113">
        <v>152.27430000000004</v>
      </c>
      <c r="L125" s="113">
        <v>0</v>
      </c>
      <c r="M125" s="113">
        <v>0</v>
      </c>
      <c r="N125" s="113">
        <v>0</v>
      </c>
      <c r="O125" s="113">
        <v>3934.1457</v>
      </c>
    </row>
    <row r="126" spans="2:15">
      <c r="B126" s="729"/>
      <c r="C126" s="728" t="s">
        <v>188</v>
      </c>
      <c r="D126" s="107">
        <v>2006</v>
      </c>
      <c r="E126" s="108">
        <v>70.668200000000013</v>
      </c>
      <c r="F126" s="109">
        <v>506.32030000000015</v>
      </c>
      <c r="G126" s="109">
        <v>801.82859999999982</v>
      </c>
      <c r="H126" s="109">
        <v>733.86669999999992</v>
      </c>
      <c r="I126" s="109">
        <v>517.83750000000009</v>
      </c>
      <c r="J126" s="109">
        <v>1268.2753000000002</v>
      </c>
      <c r="K126" s="109">
        <v>57.584099999999985</v>
      </c>
      <c r="L126" s="109">
        <v>26.696000000000002</v>
      </c>
      <c r="M126" s="109">
        <v>12.5625</v>
      </c>
      <c r="N126" s="109">
        <v>0</v>
      </c>
      <c r="O126" s="109">
        <v>3995.6392000000005</v>
      </c>
    </row>
    <row r="127" spans="2:15" ht="12.75" customHeight="1">
      <c r="B127" s="729"/>
      <c r="C127" s="731" t="s">
        <v>188</v>
      </c>
      <c r="D127" s="107">
        <v>2007</v>
      </c>
      <c r="E127" s="108">
        <v>65.748400000000004</v>
      </c>
      <c r="F127" s="109">
        <v>321.23440000000005</v>
      </c>
      <c r="G127" s="109">
        <v>790.61130000000003</v>
      </c>
      <c r="H127" s="109">
        <v>677.37889999999982</v>
      </c>
      <c r="I127" s="109">
        <v>428.05730000000005</v>
      </c>
      <c r="J127" s="109">
        <v>1220.9507999999996</v>
      </c>
      <c r="K127" s="109">
        <v>35.577300000000001</v>
      </c>
      <c r="L127" s="109">
        <v>29.279999999999994</v>
      </c>
      <c r="M127" s="109">
        <v>13.814399999999999</v>
      </c>
      <c r="N127" s="109">
        <v>0</v>
      </c>
      <c r="O127" s="109">
        <v>3582.6527999999994</v>
      </c>
    </row>
    <row r="128" spans="2:15" ht="12.75" customHeight="1">
      <c r="B128" s="729"/>
      <c r="C128" s="731" t="s">
        <v>188</v>
      </c>
      <c r="D128" s="107">
        <v>2008</v>
      </c>
      <c r="E128" s="108">
        <v>135.01510000000013</v>
      </c>
      <c r="F128" s="109">
        <v>385.18249999999961</v>
      </c>
      <c r="G128" s="109">
        <v>811.04419999999982</v>
      </c>
      <c r="H128" s="109">
        <v>657.14300000000003</v>
      </c>
      <c r="I128" s="109">
        <v>401.17989999999992</v>
      </c>
      <c r="J128" s="109">
        <v>1168.6873999999996</v>
      </c>
      <c r="K128" s="109">
        <v>1.3784000000000003</v>
      </c>
      <c r="L128" s="109">
        <v>18.921000000000003</v>
      </c>
      <c r="M128" s="109">
        <v>10.950200000000001</v>
      </c>
      <c r="N128" s="109">
        <v>0</v>
      </c>
      <c r="O128" s="109">
        <v>3589.5016999999993</v>
      </c>
    </row>
    <row r="129" spans="2:15" ht="12.75" customHeight="1">
      <c r="B129" s="729"/>
      <c r="C129" s="731" t="s">
        <v>188</v>
      </c>
      <c r="D129" s="107">
        <v>2009</v>
      </c>
      <c r="E129" s="108">
        <v>67.314200000000056</v>
      </c>
      <c r="F129" s="109">
        <v>401.45950000000005</v>
      </c>
      <c r="G129" s="109">
        <v>915.39779999999985</v>
      </c>
      <c r="H129" s="109">
        <v>771.66359999999997</v>
      </c>
      <c r="I129" s="109">
        <v>527.21559999999999</v>
      </c>
      <c r="J129" s="109">
        <v>1153.9078999999999</v>
      </c>
      <c r="K129" s="109">
        <v>2.7836000000000007</v>
      </c>
      <c r="L129" s="109">
        <v>21.225000000000001</v>
      </c>
      <c r="M129" s="109">
        <v>3.3656000000000001</v>
      </c>
      <c r="N129" s="109">
        <v>0</v>
      </c>
      <c r="O129" s="109">
        <v>3864.3328000000006</v>
      </c>
    </row>
    <row r="130" spans="2:15" ht="12.75" customHeight="1">
      <c r="B130" s="729"/>
      <c r="C130" s="731" t="s">
        <v>188</v>
      </c>
      <c r="D130" s="107">
        <v>2010</v>
      </c>
      <c r="E130" s="108">
        <v>32.698100000000004</v>
      </c>
      <c r="F130" s="109">
        <v>323.68809999999996</v>
      </c>
      <c r="G130" s="109">
        <v>820.26210000000015</v>
      </c>
      <c r="H130" s="109">
        <v>723.59620000000018</v>
      </c>
      <c r="I130" s="109">
        <v>530.02819999999997</v>
      </c>
      <c r="J130" s="109">
        <v>1250.3486999999998</v>
      </c>
      <c r="K130" s="109">
        <v>14.359300000000003</v>
      </c>
      <c r="L130" s="109">
        <v>12.875</v>
      </c>
      <c r="M130" s="109">
        <v>0.3</v>
      </c>
      <c r="N130" s="109">
        <v>0</v>
      </c>
      <c r="O130" s="109">
        <v>3708.1556999999998</v>
      </c>
    </row>
    <row r="131" spans="2:15" ht="12.75" customHeight="1">
      <c r="B131" s="729"/>
      <c r="C131" s="731" t="s">
        <v>188</v>
      </c>
      <c r="D131" s="107">
        <v>2011</v>
      </c>
      <c r="E131" s="108">
        <v>95.040100000000024</v>
      </c>
      <c r="F131" s="109">
        <v>267.32589999999999</v>
      </c>
      <c r="G131" s="109">
        <v>721.75549999999987</v>
      </c>
      <c r="H131" s="109">
        <v>640.2274000000001</v>
      </c>
      <c r="I131" s="109">
        <v>530.7265000000001</v>
      </c>
      <c r="J131" s="109">
        <v>1272.1952000000001</v>
      </c>
      <c r="K131" s="109">
        <v>20.551000000000002</v>
      </c>
      <c r="L131" s="109">
        <v>6.5</v>
      </c>
      <c r="M131" s="109">
        <v>0.67</v>
      </c>
      <c r="N131" s="109">
        <v>0</v>
      </c>
      <c r="O131" s="109">
        <v>3554.9915999999998</v>
      </c>
    </row>
    <row r="132" spans="2:15" ht="12.75" customHeight="1">
      <c r="B132" s="729"/>
      <c r="C132" s="731" t="s">
        <v>188</v>
      </c>
      <c r="D132" s="107">
        <v>2012</v>
      </c>
      <c r="E132" s="108">
        <v>91.612400000000008</v>
      </c>
      <c r="F132" s="109">
        <v>297.28109999999998</v>
      </c>
      <c r="G132" s="109">
        <v>762.27650000000017</v>
      </c>
      <c r="H132" s="109">
        <v>648.21390000000008</v>
      </c>
      <c r="I132" s="109">
        <v>523.71090000000015</v>
      </c>
      <c r="J132" s="109">
        <v>1204.3100000000004</v>
      </c>
      <c r="K132" s="109">
        <v>23.5442</v>
      </c>
      <c r="L132" s="109">
        <v>18.125</v>
      </c>
      <c r="M132" s="109">
        <v>1.5</v>
      </c>
      <c r="N132" s="109">
        <v>0</v>
      </c>
      <c r="O132" s="109">
        <v>3570.5740000000001</v>
      </c>
    </row>
    <row r="133" spans="2:15" ht="12.75" customHeight="1">
      <c r="B133" s="729"/>
      <c r="C133" s="732" t="s">
        <v>188</v>
      </c>
      <c r="D133" s="115">
        <v>2013</v>
      </c>
      <c r="E133" s="112">
        <v>77.377599999999987</v>
      </c>
      <c r="F133" s="113">
        <v>294.95630000000006</v>
      </c>
      <c r="G133" s="113">
        <v>809.63160000000016</v>
      </c>
      <c r="H133" s="113">
        <v>620.51469999999983</v>
      </c>
      <c r="I133" s="113">
        <v>490.65679999999998</v>
      </c>
      <c r="J133" s="113">
        <v>1172.1269</v>
      </c>
      <c r="K133" s="113">
        <v>33.427199999999999</v>
      </c>
      <c r="L133" s="113">
        <v>18.75</v>
      </c>
      <c r="M133" s="113">
        <v>2</v>
      </c>
      <c r="N133" s="113">
        <v>0</v>
      </c>
      <c r="O133" s="113">
        <v>3519.4410999999996</v>
      </c>
    </row>
    <row r="134" spans="2:15">
      <c r="B134" s="729"/>
      <c r="C134" s="728" t="s">
        <v>189</v>
      </c>
      <c r="D134" s="107">
        <v>2006</v>
      </c>
      <c r="E134" s="108">
        <v>176.88910000000001</v>
      </c>
      <c r="F134" s="109">
        <v>585.34089999999992</v>
      </c>
      <c r="G134" s="109">
        <v>975.06740000000002</v>
      </c>
      <c r="H134" s="109">
        <v>1206.4709000000003</v>
      </c>
      <c r="I134" s="109">
        <v>1521.4042000000004</v>
      </c>
      <c r="J134" s="109">
        <v>1018.1116</v>
      </c>
      <c r="K134" s="109">
        <v>53.1233</v>
      </c>
      <c r="L134" s="109">
        <v>14.563999999999997</v>
      </c>
      <c r="M134" s="109">
        <v>0</v>
      </c>
      <c r="N134" s="109">
        <v>0</v>
      </c>
      <c r="O134" s="109">
        <v>5550.9714000000013</v>
      </c>
    </row>
    <row r="135" spans="2:15" ht="12.75" customHeight="1">
      <c r="B135" s="729"/>
      <c r="C135" s="731" t="s">
        <v>189</v>
      </c>
      <c r="D135" s="107">
        <v>2007</v>
      </c>
      <c r="E135" s="108">
        <v>48.400000000000013</v>
      </c>
      <c r="F135" s="109">
        <v>744.74239999999986</v>
      </c>
      <c r="G135" s="109">
        <v>982.87590000000023</v>
      </c>
      <c r="H135" s="109">
        <v>1291.5409</v>
      </c>
      <c r="I135" s="109">
        <v>1254.6804000000004</v>
      </c>
      <c r="J135" s="109">
        <v>1116.0167999999999</v>
      </c>
      <c r="K135" s="109">
        <v>48.276799999999987</v>
      </c>
      <c r="L135" s="109">
        <v>20.249800000000004</v>
      </c>
      <c r="M135" s="109">
        <v>0</v>
      </c>
      <c r="N135" s="109">
        <v>0</v>
      </c>
      <c r="O135" s="109">
        <v>5506.783000000004</v>
      </c>
    </row>
    <row r="136" spans="2:15" ht="12.75" customHeight="1">
      <c r="B136" s="729"/>
      <c r="C136" s="731" t="s">
        <v>189</v>
      </c>
      <c r="D136" s="107">
        <v>2008</v>
      </c>
      <c r="E136" s="108">
        <v>48.900000000000013</v>
      </c>
      <c r="F136" s="109">
        <v>765.47620000000018</v>
      </c>
      <c r="G136" s="109">
        <v>1110.1803</v>
      </c>
      <c r="H136" s="109">
        <v>1263.1597000000004</v>
      </c>
      <c r="I136" s="109">
        <v>1214.0883000000003</v>
      </c>
      <c r="J136" s="109">
        <v>1118.4614000000001</v>
      </c>
      <c r="K136" s="109">
        <v>55.703200000000002</v>
      </c>
      <c r="L136" s="109">
        <v>4.2081</v>
      </c>
      <c r="M136" s="109">
        <v>0</v>
      </c>
      <c r="N136" s="109">
        <v>0</v>
      </c>
      <c r="O136" s="109">
        <v>5580.1772000000055</v>
      </c>
    </row>
    <row r="137" spans="2:15" ht="12.75" customHeight="1">
      <c r="B137" s="729"/>
      <c r="C137" s="731" t="s">
        <v>189</v>
      </c>
      <c r="D137" s="107">
        <v>2009</v>
      </c>
      <c r="E137" s="108">
        <v>48.78</v>
      </c>
      <c r="F137" s="109">
        <v>901.90959999999984</v>
      </c>
      <c r="G137" s="109">
        <v>1294.8747999999996</v>
      </c>
      <c r="H137" s="109">
        <v>1446.0935000000004</v>
      </c>
      <c r="I137" s="109">
        <v>1310.6224000000004</v>
      </c>
      <c r="J137" s="109">
        <v>1295.3684999999996</v>
      </c>
      <c r="K137" s="109">
        <v>54.866100000000003</v>
      </c>
      <c r="L137" s="109">
        <v>2.6665999999999994</v>
      </c>
      <c r="M137" s="109">
        <v>0</v>
      </c>
      <c r="N137" s="109">
        <v>0</v>
      </c>
      <c r="O137" s="109">
        <v>6355.1814999999988</v>
      </c>
    </row>
    <row r="138" spans="2:15" ht="12.75" customHeight="1">
      <c r="B138" s="729"/>
      <c r="C138" s="731" t="s">
        <v>189</v>
      </c>
      <c r="D138" s="107">
        <v>2010</v>
      </c>
      <c r="E138" s="108">
        <v>75.547900000000013</v>
      </c>
      <c r="F138" s="109">
        <v>990.25019999999995</v>
      </c>
      <c r="G138" s="109">
        <v>1428.2559000000003</v>
      </c>
      <c r="H138" s="109">
        <v>1462.8222000000003</v>
      </c>
      <c r="I138" s="109">
        <v>1299.2394999999999</v>
      </c>
      <c r="J138" s="109">
        <v>1497.18</v>
      </c>
      <c r="K138" s="109">
        <v>50.058199999999999</v>
      </c>
      <c r="L138" s="109">
        <v>2.2082000000000002</v>
      </c>
      <c r="M138" s="109">
        <v>0</v>
      </c>
      <c r="N138" s="109">
        <v>0</v>
      </c>
      <c r="O138" s="109">
        <v>6805.5620999999983</v>
      </c>
    </row>
    <row r="139" spans="2:15" ht="12.75" customHeight="1">
      <c r="B139" s="729"/>
      <c r="C139" s="731" t="s">
        <v>189</v>
      </c>
      <c r="D139" s="107">
        <v>2011</v>
      </c>
      <c r="E139" s="108">
        <v>97.649999999999977</v>
      </c>
      <c r="F139" s="109">
        <v>1105.6242</v>
      </c>
      <c r="G139" s="109">
        <v>1542.9579000000003</v>
      </c>
      <c r="H139" s="109">
        <v>1327.3911000000003</v>
      </c>
      <c r="I139" s="109">
        <v>1364.0084999999997</v>
      </c>
      <c r="J139" s="109">
        <v>1747.8536999999999</v>
      </c>
      <c r="K139" s="109">
        <v>48.088400000000014</v>
      </c>
      <c r="L139" s="109">
        <v>1.375</v>
      </c>
      <c r="M139" s="109">
        <v>0</v>
      </c>
      <c r="N139" s="109">
        <v>0</v>
      </c>
      <c r="O139" s="109">
        <v>7234.9488000000001</v>
      </c>
    </row>
    <row r="140" spans="2:15" ht="12.75" customHeight="1">
      <c r="B140" s="729"/>
      <c r="C140" s="731" t="s">
        <v>189</v>
      </c>
      <c r="D140" s="107">
        <v>2012</v>
      </c>
      <c r="E140" s="108">
        <v>113.56659999999999</v>
      </c>
      <c r="F140" s="109">
        <v>1143.7044000000001</v>
      </c>
      <c r="G140" s="109">
        <v>1613.6293000000003</v>
      </c>
      <c r="H140" s="109">
        <v>1383.2148999999999</v>
      </c>
      <c r="I140" s="109">
        <v>1252.9180000000003</v>
      </c>
      <c r="J140" s="109">
        <v>1977.9841999999996</v>
      </c>
      <c r="K140" s="109">
        <v>37.707099999999997</v>
      </c>
      <c r="L140" s="109">
        <v>0.74990000000000012</v>
      </c>
      <c r="M140" s="109">
        <v>0</v>
      </c>
      <c r="N140" s="109">
        <v>0</v>
      </c>
      <c r="O140" s="109">
        <v>7523.474400000001</v>
      </c>
    </row>
    <row r="141" spans="2:15" ht="12.75" customHeight="1">
      <c r="B141" s="729"/>
      <c r="C141" s="732" t="s">
        <v>189</v>
      </c>
      <c r="D141" s="115">
        <v>2013</v>
      </c>
      <c r="E141" s="112">
        <v>113.125</v>
      </c>
      <c r="F141" s="113">
        <v>725.12249999999983</v>
      </c>
      <c r="G141" s="113">
        <v>1677.3847000000003</v>
      </c>
      <c r="H141" s="113">
        <v>1535.4402999999998</v>
      </c>
      <c r="I141" s="113">
        <v>1103.1098</v>
      </c>
      <c r="J141" s="113">
        <v>2039.4353000000001</v>
      </c>
      <c r="K141" s="113">
        <v>51.715499999999984</v>
      </c>
      <c r="L141" s="113">
        <v>2.2498999999999998</v>
      </c>
      <c r="M141" s="113">
        <v>0</v>
      </c>
      <c r="N141" s="113">
        <v>0</v>
      </c>
      <c r="O141" s="113">
        <v>7247.5829999999996</v>
      </c>
    </row>
    <row r="142" spans="2:15">
      <c r="B142" s="729"/>
      <c r="C142" s="728" t="s">
        <v>190</v>
      </c>
      <c r="D142" s="107">
        <v>2006</v>
      </c>
      <c r="E142" s="108">
        <v>158.80719999999997</v>
      </c>
      <c r="F142" s="109">
        <v>219.90559999999999</v>
      </c>
      <c r="G142" s="109">
        <v>799.1665999999999</v>
      </c>
      <c r="H142" s="109">
        <v>526.34139999999991</v>
      </c>
      <c r="I142" s="109">
        <v>785.18149999999991</v>
      </c>
      <c r="J142" s="109">
        <v>281.93449999999996</v>
      </c>
      <c r="K142" s="109">
        <v>10.3752</v>
      </c>
      <c r="L142" s="109">
        <v>0</v>
      </c>
      <c r="M142" s="109">
        <v>0</v>
      </c>
      <c r="N142" s="109">
        <v>0</v>
      </c>
      <c r="O142" s="109">
        <v>2781.712</v>
      </c>
    </row>
    <row r="143" spans="2:15" ht="12.75" customHeight="1">
      <c r="B143" s="729"/>
      <c r="C143" s="731" t="s">
        <v>190</v>
      </c>
      <c r="D143" s="107">
        <v>2007</v>
      </c>
      <c r="E143" s="108">
        <v>126.1875</v>
      </c>
      <c r="F143" s="109">
        <v>196.34960000000004</v>
      </c>
      <c r="G143" s="109">
        <v>881.30149999999992</v>
      </c>
      <c r="H143" s="109">
        <v>646.79819999999995</v>
      </c>
      <c r="I143" s="109">
        <v>811.59370000000001</v>
      </c>
      <c r="J143" s="109">
        <v>295.27199999999999</v>
      </c>
      <c r="K143" s="109">
        <v>11.311500000000001</v>
      </c>
      <c r="L143" s="109">
        <v>0</v>
      </c>
      <c r="M143" s="109">
        <v>0</v>
      </c>
      <c r="N143" s="109">
        <v>0</v>
      </c>
      <c r="O143" s="109">
        <v>2968.8139999999999</v>
      </c>
    </row>
    <row r="144" spans="2:15" ht="12.75" customHeight="1">
      <c r="B144" s="729"/>
      <c r="C144" s="731" t="s">
        <v>190</v>
      </c>
      <c r="D144" s="107">
        <v>2008</v>
      </c>
      <c r="E144" s="108">
        <v>110.3817</v>
      </c>
      <c r="F144" s="109">
        <v>268.42829999999992</v>
      </c>
      <c r="G144" s="109">
        <v>729.51469999999983</v>
      </c>
      <c r="H144" s="109">
        <v>553.75089999999989</v>
      </c>
      <c r="I144" s="109">
        <v>881.02419999999995</v>
      </c>
      <c r="J144" s="109">
        <v>345.36380000000003</v>
      </c>
      <c r="K144" s="109">
        <v>17.25</v>
      </c>
      <c r="L144" s="109">
        <v>0</v>
      </c>
      <c r="M144" s="109">
        <v>0</v>
      </c>
      <c r="N144" s="109">
        <v>0</v>
      </c>
      <c r="O144" s="109">
        <v>2905.7136000000005</v>
      </c>
    </row>
    <row r="145" spans="2:15" ht="12.75" customHeight="1">
      <c r="B145" s="729"/>
      <c r="C145" s="731" t="s">
        <v>190</v>
      </c>
      <c r="D145" s="107">
        <v>2009</v>
      </c>
      <c r="E145" s="108">
        <v>105.6875</v>
      </c>
      <c r="F145" s="109">
        <v>239.09649999999993</v>
      </c>
      <c r="G145" s="109">
        <v>706.21879999999999</v>
      </c>
      <c r="H145" s="109">
        <v>692.51890000000014</v>
      </c>
      <c r="I145" s="109">
        <v>1186.8266000000001</v>
      </c>
      <c r="J145" s="109">
        <v>390.49860000000007</v>
      </c>
      <c r="K145" s="109">
        <v>13.125</v>
      </c>
      <c r="L145" s="109">
        <v>0</v>
      </c>
      <c r="M145" s="109">
        <v>0</v>
      </c>
      <c r="N145" s="109">
        <v>0</v>
      </c>
      <c r="O145" s="109">
        <v>3333.9718999999996</v>
      </c>
    </row>
    <row r="146" spans="2:15" ht="12.75" customHeight="1">
      <c r="B146" s="729"/>
      <c r="C146" s="731" t="s">
        <v>190</v>
      </c>
      <c r="D146" s="107">
        <v>2010</v>
      </c>
      <c r="E146" s="108">
        <v>68.375</v>
      </c>
      <c r="F146" s="109">
        <v>284.36589999999995</v>
      </c>
      <c r="G146" s="109">
        <v>610.87699999999995</v>
      </c>
      <c r="H146" s="109">
        <v>720.66469999999993</v>
      </c>
      <c r="I146" s="109">
        <v>1431.0882000000004</v>
      </c>
      <c r="J146" s="109">
        <v>465.36109999999985</v>
      </c>
      <c r="K146" s="109">
        <v>17.75</v>
      </c>
      <c r="L146" s="109">
        <v>0</v>
      </c>
      <c r="M146" s="109">
        <v>0</v>
      </c>
      <c r="N146" s="109">
        <v>0</v>
      </c>
      <c r="O146" s="109">
        <v>3598.4819000000002</v>
      </c>
    </row>
    <row r="147" spans="2:15" ht="12.75" customHeight="1">
      <c r="B147" s="729"/>
      <c r="C147" s="731" t="s">
        <v>190</v>
      </c>
      <c r="D147" s="107">
        <v>2011</v>
      </c>
      <c r="E147" s="108">
        <v>45.207200000000007</v>
      </c>
      <c r="F147" s="109">
        <v>280.8381</v>
      </c>
      <c r="G147" s="109">
        <v>441.06039999999996</v>
      </c>
      <c r="H147" s="109">
        <v>707.1921000000001</v>
      </c>
      <c r="I147" s="109">
        <v>1290.4206999999997</v>
      </c>
      <c r="J147" s="109">
        <v>458.58549999999991</v>
      </c>
      <c r="K147" s="109">
        <v>16.708400000000001</v>
      </c>
      <c r="L147" s="109">
        <v>0</v>
      </c>
      <c r="M147" s="109">
        <v>0</v>
      </c>
      <c r="N147" s="109">
        <v>0</v>
      </c>
      <c r="O147" s="109">
        <v>3240.0124000000001</v>
      </c>
    </row>
    <row r="148" spans="2:15" ht="12.75" customHeight="1">
      <c r="B148" s="729"/>
      <c r="C148" s="731" t="s">
        <v>190</v>
      </c>
      <c r="D148" s="107">
        <v>2012</v>
      </c>
      <c r="E148" s="108">
        <v>33.110600000000005</v>
      </c>
      <c r="F148" s="109">
        <v>291.98700000000008</v>
      </c>
      <c r="G148" s="109">
        <v>466.20449999999988</v>
      </c>
      <c r="H148" s="109">
        <v>671.05989999999997</v>
      </c>
      <c r="I148" s="109">
        <v>1162.1670999999997</v>
      </c>
      <c r="J148" s="109">
        <v>442.49310000000003</v>
      </c>
      <c r="K148" s="109">
        <v>24.094000000000001</v>
      </c>
      <c r="L148" s="109">
        <v>0</v>
      </c>
      <c r="M148" s="109">
        <v>0</v>
      </c>
      <c r="N148" s="109">
        <v>0</v>
      </c>
      <c r="O148" s="109">
        <v>3091.1162000000008</v>
      </c>
    </row>
    <row r="149" spans="2:15" ht="12.75" customHeight="1">
      <c r="B149" s="729"/>
      <c r="C149" s="733" t="s">
        <v>190</v>
      </c>
      <c r="D149" s="115">
        <v>2013</v>
      </c>
      <c r="E149" s="112">
        <v>17.620499999999996</v>
      </c>
      <c r="F149" s="113">
        <v>148.04339999999996</v>
      </c>
      <c r="G149" s="113">
        <v>569.06209999999999</v>
      </c>
      <c r="H149" s="113">
        <v>668.14059999999984</v>
      </c>
      <c r="I149" s="113">
        <v>787.63479999999993</v>
      </c>
      <c r="J149" s="113">
        <v>406.24869999999993</v>
      </c>
      <c r="K149" s="113">
        <v>33.581099999999999</v>
      </c>
      <c r="L149" s="113">
        <v>0</v>
      </c>
      <c r="M149" s="113">
        <v>0</v>
      </c>
      <c r="N149" s="113">
        <v>0</v>
      </c>
      <c r="O149" s="113">
        <v>2630.3312000000001</v>
      </c>
    </row>
    <row r="150" spans="2:15">
      <c r="B150" s="729"/>
      <c r="C150" s="729" t="s">
        <v>191</v>
      </c>
      <c r="D150" s="107">
        <v>2006</v>
      </c>
      <c r="E150" s="108">
        <v>0</v>
      </c>
      <c r="F150" s="109">
        <v>852.89209999999991</v>
      </c>
      <c r="G150" s="109">
        <v>939.16359999999997</v>
      </c>
      <c r="H150" s="109">
        <v>752.09870000000001</v>
      </c>
      <c r="I150" s="109">
        <v>366.36399999999998</v>
      </c>
      <c r="J150" s="109">
        <v>328.67689999999993</v>
      </c>
      <c r="K150" s="109">
        <v>2.375</v>
      </c>
      <c r="L150" s="109">
        <v>0</v>
      </c>
      <c r="M150" s="109">
        <v>0</v>
      </c>
      <c r="N150" s="109">
        <v>0</v>
      </c>
      <c r="O150" s="109">
        <v>3241.5702999999949</v>
      </c>
    </row>
    <row r="151" spans="2:15" ht="12.75" customHeight="1">
      <c r="B151" s="729"/>
      <c r="C151" s="731" t="s">
        <v>191</v>
      </c>
      <c r="D151" s="107">
        <v>2007</v>
      </c>
      <c r="E151" s="108">
        <v>0</v>
      </c>
      <c r="F151" s="109">
        <v>851.53629999999987</v>
      </c>
      <c r="G151" s="109">
        <v>945.08270000000027</v>
      </c>
      <c r="H151" s="109">
        <v>387.88490000000002</v>
      </c>
      <c r="I151" s="109">
        <v>359.10959999999994</v>
      </c>
      <c r="J151" s="109">
        <v>337.53469999999999</v>
      </c>
      <c r="K151" s="109">
        <v>1.125</v>
      </c>
      <c r="L151" s="109">
        <v>0</v>
      </c>
      <c r="M151" s="109">
        <v>0</v>
      </c>
      <c r="N151" s="109">
        <v>0</v>
      </c>
      <c r="O151" s="109">
        <v>2882.2731999999992</v>
      </c>
    </row>
    <row r="152" spans="2:15" ht="12.75" customHeight="1">
      <c r="B152" s="729"/>
      <c r="C152" s="731" t="s">
        <v>191</v>
      </c>
      <c r="D152" s="107">
        <v>2008</v>
      </c>
      <c r="E152" s="108">
        <v>0</v>
      </c>
      <c r="F152" s="109">
        <v>1033.5195999999999</v>
      </c>
      <c r="G152" s="109">
        <v>1012.0090999999987</v>
      </c>
      <c r="H152" s="109">
        <v>454.84659999999991</v>
      </c>
      <c r="I152" s="109">
        <v>295.21179999999998</v>
      </c>
      <c r="J152" s="109">
        <v>341.83530000000002</v>
      </c>
      <c r="K152" s="109">
        <v>12.707400000000003</v>
      </c>
      <c r="L152" s="109">
        <v>0</v>
      </c>
      <c r="M152" s="109">
        <v>0</v>
      </c>
      <c r="N152" s="109">
        <v>0</v>
      </c>
      <c r="O152" s="109">
        <v>3150.1298000000006</v>
      </c>
    </row>
    <row r="153" spans="2:15" ht="12.75" customHeight="1">
      <c r="B153" s="729"/>
      <c r="C153" s="731" t="s">
        <v>191</v>
      </c>
      <c r="D153" s="107">
        <v>2009</v>
      </c>
      <c r="E153" s="108">
        <v>0</v>
      </c>
      <c r="F153" s="109">
        <v>622.7831000000001</v>
      </c>
      <c r="G153" s="109">
        <v>1273.8522999999998</v>
      </c>
      <c r="H153" s="109">
        <v>510.67959999999988</v>
      </c>
      <c r="I153" s="109">
        <v>367.32640000000009</v>
      </c>
      <c r="J153" s="109">
        <v>392.55950000000001</v>
      </c>
      <c r="K153" s="109">
        <v>33.125999999999998</v>
      </c>
      <c r="L153" s="109">
        <v>0</v>
      </c>
      <c r="M153" s="109">
        <v>0</v>
      </c>
      <c r="N153" s="109">
        <v>0</v>
      </c>
      <c r="O153" s="109">
        <v>3200.3269000000018</v>
      </c>
    </row>
    <row r="154" spans="2:15" ht="12.75" customHeight="1">
      <c r="B154" s="729"/>
      <c r="C154" s="731" t="s">
        <v>191</v>
      </c>
      <c r="D154" s="107">
        <v>2010</v>
      </c>
      <c r="E154" s="108">
        <v>0</v>
      </c>
      <c r="F154" s="109">
        <v>576.77380000000039</v>
      </c>
      <c r="G154" s="109">
        <v>1117.2140999999999</v>
      </c>
      <c r="H154" s="109">
        <v>563.37249999999995</v>
      </c>
      <c r="I154" s="109">
        <v>366.03450000000004</v>
      </c>
      <c r="J154" s="109">
        <v>411.51450000000006</v>
      </c>
      <c r="K154" s="109">
        <v>35.200000000000003</v>
      </c>
      <c r="L154" s="109">
        <v>0</v>
      </c>
      <c r="M154" s="109">
        <v>0</v>
      </c>
      <c r="N154" s="109">
        <v>0</v>
      </c>
      <c r="O154" s="109">
        <v>3070.1094000000007</v>
      </c>
    </row>
    <row r="155" spans="2:15" ht="12.75" customHeight="1">
      <c r="B155" s="729"/>
      <c r="C155" s="731" t="s">
        <v>191</v>
      </c>
      <c r="D155" s="107">
        <v>2011</v>
      </c>
      <c r="E155" s="108">
        <v>0</v>
      </c>
      <c r="F155" s="109">
        <v>703.33389999999986</v>
      </c>
      <c r="G155" s="109">
        <v>922.46040000000005</v>
      </c>
      <c r="H155" s="109">
        <v>564.62030000000004</v>
      </c>
      <c r="I155" s="109">
        <v>406.80530000000005</v>
      </c>
      <c r="J155" s="109">
        <v>438.28850000000006</v>
      </c>
      <c r="K155" s="109">
        <v>13.873000000000003</v>
      </c>
      <c r="L155" s="109">
        <v>0</v>
      </c>
      <c r="M155" s="109">
        <v>0</v>
      </c>
      <c r="N155" s="109">
        <v>0</v>
      </c>
      <c r="O155" s="109">
        <v>3049.3814000000007</v>
      </c>
    </row>
    <row r="156" spans="2:15" ht="12.75" customHeight="1">
      <c r="B156" s="729"/>
      <c r="C156" s="731" t="s">
        <v>191</v>
      </c>
      <c r="D156" s="107">
        <v>2012</v>
      </c>
      <c r="E156" s="108">
        <v>0.15000000000000002</v>
      </c>
      <c r="F156" s="109">
        <v>608.58669999999995</v>
      </c>
      <c r="G156" s="109">
        <v>1033.6233999999999</v>
      </c>
      <c r="H156" s="109">
        <v>792.89260000000013</v>
      </c>
      <c r="I156" s="109">
        <v>412.84209999999996</v>
      </c>
      <c r="J156" s="109">
        <v>434.00079999999991</v>
      </c>
      <c r="K156" s="109">
        <v>25.748199999999994</v>
      </c>
      <c r="L156" s="109">
        <v>0</v>
      </c>
      <c r="M156" s="109">
        <v>0</v>
      </c>
      <c r="N156" s="109">
        <v>0</v>
      </c>
      <c r="O156" s="109">
        <v>3307.8438000000006</v>
      </c>
    </row>
    <row r="157" spans="2:15" ht="12.75" customHeight="1">
      <c r="B157" s="729"/>
      <c r="C157" s="732" t="s">
        <v>191</v>
      </c>
      <c r="D157" s="115">
        <v>2013</v>
      </c>
      <c r="E157" s="112">
        <v>0.78300000000000014</v>
      </c>
      <c r="F157" s="113">
        <v>715.2752999999999</v>
      </c>
      <c r="G157" s="113">
        <v>882.28679999999997</v>
      </c>
      <c r="H157" s="113">
        <v>715.92189999999982</v>
      </c>
      <c r="I157" s="113">
        <v>400.04599999999999</v>
      </c>
      <c r="J157" s="113">
        <v>441.58399999999995</v>
      </c>
      <c r="K157" s="113">
        <v>30.251000000000005</v>
      </c>
      <c r="L157" s="113">
        <v>0</v>
      </c>
      <c r="M157" s="113">
        <v>0</v>
      </c>
      <c r="N157" s="113">
        <v>0</v>
      </c>
      <c r="O157" s="113">
        <v>3186.1480000000006</v>
      </c>
    </row>
    <row r="158" spans="2:15">
      <c r="B158" s="729"/>
      <c r="C158" s="728" t="s">
        <v>192</v>
      </c>
      <c r="D158" s="107">
        <v>2006</v>
      </c>
      <c r="E158" s="108">
        <v>0</v>
      </c>
      <c r="F158" s="109">
        <v>322.64789999999994</v>
      </c>
      <c r="G158" s="109">
        <v>318.05900000000008</v>
      </c>
      <c r="H158" s="109">
        <v>828.21609999999998</v>
      </c>
      <c r="I158" s="109">
        <v>604.88680000000011</v>
      </c>
      <c r="J158" s="109">
        <v>1089.4712999999999</v>
      </c>
      <c r="K158" s="109">
        <v>13.3086</v>
      </c>
      <c r="L158" s="109">
        <v>55.640700000000002</v>
      </c>
      <c r="M158" s="109">
        <v>60.674999999999997</v>
      </c>
      <c r="N158" s="109">
        <v>0</v>
      </c>
      <c r="O158" s="109">
        <v>3292.9053999999992</v>
      </c>
    </row>
    <row r="159" spans="2:15" ht="12.75" customHeight="1">
      <c r="B159" s="729"/>
      <c r="C159" s="731" t="s">
        <v>192</v>
      </c>
      <c r="D159" s="107">
        <v>2007</v>
      </c>
      <c r="E159" s="108">
        <v>0</v>
      </c>
      <c r="F159" s="109">
        <v>395.21100000000001</v>
      </c>
      <c r="G159" s="109">
        <v>254.00130000000007</v>
      </c>
      <c r="H159" s="109">
        <v>884.63670000000002</v>
      </c>
      <c r="I159" s="109">
        <v>694.27729999999985</v>
      </c>
      <c r="J159" s="109">
        <v>1057.6070999999999</v>
      </c>
      <c r="K159" s="109">
        <v>26.6571</v>
      </c>
      <c r="L159" s="109">
        <v>36.560299999999991</v>
      </c>
      <c r="M159" s="109">
        <v>53.185899999999997</v>
      </c>
      <c r="N159" s="109">
        <v>0</v>
      </c>
      <c r="O159" s="109">
        <v>3402.1367</v>
      </c>
    </row>
    <row r="160" spans="2:15" ht="12.75" customHeight="1">
      <c r="B160" s="729"/>
      <c r="C160" s="731" t="s">
        <v>192</v>
      </c>
      <c r="D160" s="107">
        <v>2008</v>
      </c>
      <c r="E160" s="108">
        <v>2.5198999999999994</v>
      </c>
      <c r="F160" s="109">
        <v>336.61060000000009</v>
      </c>
      <c r="G160" s="109">
        <v>238.15889999999999</v>
      </c>
      <c r="H160" s="109">
        <v>797.81719999999996</v>
      </c>
      <c r="I160" s="109">
        <v>686.08240000000012</v>
      </c>
      <c r="J160" s="109">
        <v>1086.3837999999998</v>
      </c>
      <c r="K160" s="109">
        <v>30.547299999999993</v>
      </c>
      <c r="L160" s="109">
        <v>27.934699999999999</v>
      </c>
      <c r="M160" s="109">
        <v>36.866799999999998</v>
      </c>
      <c r="N160" s="109">
        <v>0</v>
      </c>
      <c r="O160" s="109">
        <v>3242.9215999999992</v>
      </c>
    </row>
    <row r="161" spans="2:15" ht="12.75" customHeight="1">
      <c r="B161" s="729"/>
      <c r="C161" s="731" t="s">
        <v>192</v>
      </c>
      <c r="D161" s="107">
        <v>2009</v>
      </c>
      <c r="E161" s="108">
        <v>24.542200000000005</v>
      </c>
      <c r="F161" s="109">
        <v>320.07189999999991</v>
      </c>
      <c r="G161" s="109">
        <v>263.83049999999997</v>
      </c>
      <c r="H161" s="109">
        <v>777.76170000000002</v>
      </c>
      <c r="I161" s="109">
        <v>680.78360000000009</v>
      </c>
      <c r="J161" s="109">
        <v>1152.0236999999997</v>
      </c>
      <c r="K161" s="109">
        <v>39.653700000000008</v>
      </c>
      <c r="L161" s="109">
        <v>31.499699999999994</v>
      </c>
      <c r="M161" s="109">
        <v>32.253399999999999</v>
      </c>
      <c r="N161" s="109">
        <v>0</v>
      </c>
      <c r="O161" s="109">
        <v>3322.4203999999982</v>
      </c>
    </row>
    <row r="162" spans="2:15" ht="12.75" customHeight="1">
      <c r="B162" s="729"/>
      <c r="C162" s="731" t="s">
        <v>192</v>
      </c>
      <c r="D162" s="107">
        <v>2010</v>
      </c>
      <c r="E162" s="108">
        <v>23.610100000000006</v>
      </c>
      <c r="F162" s="109">
        <v>273.26</v>
      </c>
      <c r="G162" s="109">
        <v>278.49600000000004</v>
      </c>
      <c r="H162" s="109">
        <v>773.06600000000003</v>
      </c>
      <c r="I162" s="109">
        <v>753.53779999999983</v>
      </c>
      <c r="J162" s="109">
        <v>1311.6949999999997</v>
      </c>
      <c r="K162" s="109">
        <v>39.130899999999997</v>
      </c>
      <c r="L162" s="109">
        <v>43.677600000000005</v>
      </c>
      <c r="M162" s="109">
        <v>25.587299999999992</v>
      </c>
      <c r="N162" s="109">
        <v>0</v>
      </c>
      <c r="O162" s="109">
        <v>3522.0606999999995</v>
      </c>
    </row>
    <row r="163" spans="2:15" ht="12.75" customHeight="1">
      <c r="B163" s="729"/>
      <c r="C163" s="731" t="s">
        <v>192</v>
      </c>
      <c r="D163" s="107">
        <v>2011</v>
      </c>
      <c r="E163" s="108">
        <v>16.084599999999998</v>
      </c>
      <c r="F163" s="109">
        <v>203.79489999999996</v>
      </c>
      <c r="G163" s="109">
        <v>301.81450000000007</v>
      </c>
      <c r="H163" s="109">
        <v>801.81840000000011</v>
      </c>
      <c r="I163" s="109">
        <v>611.16059999999959</v>
      </c>
      <c r="J163" s="109">
        <v>1473.0732000000003</v>
      </c>
      <c r="K163" s="109">
        <v>50.469299999999997</v>
      </c>
      <c r="L163" s="109">
        <v>37.078699999999991</v>
      </c>
      <c r="M163" s="109">
        <v>27.538499999999992</v>
      </c>
      <c r="N163" s="109">
        <v>0</v>
      </c>
      <c r="O163" s="109">
        <v>3522.8326999999995</v>
      </c>
    </row>
    <row r="164" spans="2:15" ht="12.75" customHeight="1">
      <c r="B164" s="729"/>
      <c r="C164" s="731" t="s">
        <v>192</v>
      </c>
      <c r="D164" s="107">
        <v>2012</v>
      </c>
      <c r="E164" s="108">
        <v>14.189100000000003</v>
      </c>
      <c r="F164" s="109">
        <v>207.45850000000004</v>
      </c>
      <c r="G164" s="109">
        <v>268.79589999999996</v>
      </c>
      <c r="H164" s="109">
        <v>753.40590000000009</v>
      </c>
      <c r="I164" s="109">
        <v>616.00920000000008</v>
      </c>
      <c r="J164" s="109">
        <v>1703.4404000000004</v>
      </c>
      <c r="K164" s="109">
        <v>70.805800000000005</v>
      </c>
      <c r="L164" s="109">
        <v>37.741800000000005</v>
      </c>
      <c r="M164" s="109">
        <v>34.884400000000007</v>
      </c>
      <c r="N164" s="109">
        <v>0</v>
      </c>
      <c r="O164" s="109">
        <v>3706.7309999999993</v>
      </c>
    </row>
    <row r="165" spans="2:15" ht="12.75" customHeight="1">
      <c r="B165" s="729"/>
      <c r="C165" s="732" t="s">
        <v>192</v>
      </c>
      <c r="D165" s="115">
        <v>2013</v>
      </c>
      <c r="E165" s="112">
        <v>5.6325000000000003</v>
      </c>
      <c r="F165" s="113">
        <v>165.67600000000004</v>
      </c>
      <c r="G165" s="113">
        <v>310.42360000000008</v>
      </c>
      <c r="H165" s="113">
        <v>754.30329999999992</v>
      </c>
      <c r="I165" s="113">
        <v>679.98389999999984</v>
      </c>
      <c r="J165" s="113">
        <v>1811.7804000000003</v>
      </c>
      <c r="K165" s="113">
        <v>131.47030000000001</v>
      </c>
      <c r="L165" s="113">
        <v>40.040700000000008</v>
      </c>
      <c r="M165" s="113">
        <v>33.801800000000007</v>
      </c>
      <c r="N165" s="113">
        <v>0</v>
      </c>
      <c r="O165" s="113">
        <v>3933.1125000000002</v>
      </c>
    </row>
    <row r="166" spans="2:15">
      <c r="B166" s="729"/>
      <c r="C166" s="728" t="s">
        <v>193</v>
      </c>
      <c r="D166" s="107">
        <v>2006</v>
      </c>
      <c r="E166" s="108">
        <v>175.92240000000004</v>
      </c>
      <c r="F166" s="109">
        <v>385.23949999999996</v>
      </c>
      <c r="G166" s="109">
        <v>683.61439999999982</v>
      </c>
      <c r="H166" s="109">
        <v>601.81020000000001</v>
      </c>
      <c r="I166" s="109">
        <v>1029.0714000000007</v>
      </c>
      <c r="J166" s="109">
        <v>691.85660000000007</v>
      </c>
      <c r="K166" s="109">
        <v>4.9600000000000009</v>
      </c>
      <c r="L166" s="109">
        <v>228.0711</v>
      </c>
      <c r="M166" s="109">
        <v>0</v>
      </c>
      <c r="N166" s="109">
        <v>0</v>
      </c>
      <c r="O166" s="109">
        <v>3800.5456000000049</v>
      </c>
    </row>
    <row r="167" spans="2:15" ht="12.75" customHeight="1">
      <c r="B167" s="729"/>
      <c r="C167" s="731" t="s">
        <v>193</v>
      </c>
      <c r="D167" s="107">
        <v>2007</v>
      </c>
      <c r="E167" s="108">
        <v>139.94949999999997</v>
      </c>
      <c r="F167" s="109">
        <v>519.34400000000016</v>
      </c>
      <c r="G167" s="109">
        <v>830.30889999999999</v>
      </c>
      <c r="H167" s="109">
        <v>547.82690000000002</v>
      </c>
      <c r="I167" s="109">
        <v>880.46040000000016</v>
      </c>
      <c r="J167" s="109">
        <v>868.24500000000012</v>
      </c>
      <c r="K167" s="109">
        <v>12.069800000000001</v>
      </c>
      <c r="L167" s="109">
        <v>190.74649999999997</v>
      </c>
      <c r="M167" s="109">
        <v>0</v>
      </c>
      <c r="N167" s="109">
        <v>0</v>
      </c>
      <c r="O167" s="109">
        <v>3988.9510000000005</v>
      </c>
    </row>
    <row r="168" spans="2:15" ht="12.75" customHeight="1">
      <c r="B168" s="729"/>
      <c r="C168" s="731" t="s">
        <v>193</v>
      </c>
      <c r="D168" s="107">
        <v>2008</v>
      </c>
      <c r="E168" s="108">
        <v>142.56190000000004</v>
      </c>
      <c r="F168" s="109">
        <v>397.29109999999997</v>
      </c>
      <c r="G168" s="109">
        <v>848.09259999999983</v>
      </c>
      <c r="H168" s="109">
        <v>533.55210000000011</v>
      </c>
      <c r="I168" s="109">
        <v>897.82600000000002</v>
      </c>
      <c r="J168" s="109">
        <v>926.24819999999977</v>
      </c>
      <c r="K168" s="109">
        <v>45.584000000000003</v>
      </c>
      <c r="L168" s="109">
        <v>211.4314</v>
      </c>
      <c r="M168" s="109">
        <v>0</v>
      </c>
      <c r="N168" s="109">
        <v>0</v>
      </c>
      <c r="O168" s="109">
        <v>4002.5873000000001</v>
      </c>
    </row>
    <row r="169" spans="2:15" ht="12.75" customHeight="1">
      <c r="B169" s="729"/>
      <c r="C169" s="731" t="s">
        <v>193</v>
      </c>
      <c r="D169" s="107">
        <v>2009</v>
      </c>
      <c r="E169" s="108">
        <v>130.7912</v>
      </c>
      <c r="F169" s="109">
        <v>380.26719999999995</v>
      </c>
      <c r="G169" s="109">
        <v>673.08230000000003</v>
      </c>
      <c r="H169" s="109">
        <v>634.077</v>
      </c>
      <c r="I169" s="109">
        <v>872.024</v>
      </c>
      <c r="J169" s="109">
        <v>1062.6052000000002</v>
      </c>
      <c r="K169" s="109">
        <v>102.6835</v>
      </c>
      <c r="L169" s="109">
        <v>230.33410000000003</v>
      </c>
      <c r="M169" s="109">
        <v>0</v>
      </c>
      <c r="N169" s="109">
        <v>0</v>
      </c>
      <c r="O169" s="109">
        <v>4085.8644999999992</v>
      </c>
    </row>
    <row r="170" spans="2:15" ht="12.75" customHeight="1">
      <c r="B170" s="729"/>
      <c r="C170" s="731" t="s">
        <v>193</v>
      </c>
      <c r="D170" s="107">
        <v>2010</v>
      </c>
      <c r="E170" s="108">
        <v>134.85130000000001</v>
      </c>
      <c r="F170" s="109">
        <v>396.78679999999991</v>
      </c>
      <c r="G170" s="109">
        <v>637.79010000000017</v>
      </c>
      <c r="H170" s="109">
        <v>568.15350000000012</v>
      </c>
      <c r="I170" s="109">
        <v>903.9905</v>
      </c>
      <c r="J170" s="109">
        <v>1314.8452000000004</v>
      </c>
      <c r="K170" s="109">
        <v>123.92439999999996</v>
      </c>
      <c r="L170" s="109">
        <v>225.41839999999999</v>
      </c>
      <c r="M170" s="109">
        <v>0</v>
      </c>
      <c r="N170" s="109">
        <v>0</v>
      </c>
      <c r="O170" s="109">
        <v>4305.7602000000006</v>
      </c>
    </row>
    <row r="171" spans="2:15" ht="12.75" customHeight="1">
      <c r="B171" s="729"/>
      <c r="C171" s="731" t="s">
        <v>193</v>
      </c>
      <c r="D171" s="107">
        <v>2011</v>
      </c>
      <c r="E171" s="108">
        <v>99.021799999999999</v>
      </c>
      <c r="F171" s="109">
        <v>449.52159999999998</v>
      </c>
      <c r="G171" s="109">
        <v>614.8361000000001</v>
      </c>
      <c r="H171" s="109">
        <v>559.52229999999997</v>
      </c>
      <c r="I171" s="109">
        <v>907.55840000000012</v>
      </c>
      <c r="J171" s="109">
        <v>1435.9582000000003</v>
      </c>
      <c r="K171" s="109">
        <v>117.8514</v>
      </c>
      <c r="L171" s="109">
        <v>204.38820000000001</v>
      </c>
      <c r="M171" s="109">
        <v>0</v>
      </c>
      <c r="N171" s="109">
        <v>0</v>
      </c>
      <c r="O171" s="109">
        <v>4388.6580000000031</v>
      </c>
    </row>
    <row r="172" spans="2:15" ht="12.75" customHeight="1">
      <c r="B172" s="729"/>
      <c r="C172" s="731" t="s">
        <v>193</v>
      </c>
      <c r="D172" s="107">
        <v>2012</v>
      </c>
      <c r="E172" s="108">
        <v>1.4998999999999998</v>
      </c>
      <c r="F172" s="109">
        <v>461.1696</v>
      </c>
      <c r="G172" s="109">
        <v>638.88550000000009</v>
      </c>
      <c r="H172" s="109">
        <v>623.69299999999998</v>
      </c>
      <c r="I172" s="109">
        <v>842.62969999999984</v>
      </c>
      <c r="J172" s="109">
        <v>1476.0914000000002</v>
      </c>
      <c r="K172" s="109">
        <v>144.63599999999991</v>
      </c>
      <c r="L172" s="109">
        <v>227.8382</v>
      </c>
      <c r="M172" s="109">
        <v>0</v>
      </c>
      <c r="N172" s="109">
        <v>0</v>
      </c>
      <c r="O172" s="109">
        <v>4416.4432999999999</v>
      </c>
    </row>
    <row r="173" spans="2:15" ht="12.75" customHeight="1">
      <c r="B173" s="729"/>
      <c r="C173" s="732" t="s">
        <v>193</v>
      </c>
      <c r="D173" s="115">
        <v>2013</v>
      </c>
      <c r="E173" s="112">
        <v>51.805600000000013</v>
      </c>
      <c r="F173" s="113">
        <v>497.2715</v>
      </c>
      <c r="G173" s="113">
        <v>572.56420000000014</v>
      </c>
      <c r="H173" s="113">
        <v>517.82979999999986</v>
      </c>
      <c r="I173" s="113">
        <v>677.8986000000001</v>
      </c>
      <c r="J173" s="113">
        <v>1470.9906000000003</v>
      </c>
      <c r="K173" s="113">
        <v>162.98990000000003</v>
      </c>
      <c r="L173" s="113">
        <v>215.15399999999997</v>
      </c>
      <c r="M173" s="113">
        <v>0</v>
      </c>
      <c r="N173" s="113">
        <v>0</v>
      </c>
      <c r="O173" s="113">
        <v>4166.5041999999994</v>
      </c>
    </row>
    <row r="174" spans="2:15">
      <c r="B174" s="729"/>
      <c r="C174" s="728" t="s">
        <v>194</v>
      </c>
      <c r="D174" s="107">
        <v>2006</v>
      </c>
      <c r="E174" s="108">
        <v>66.027900000000002</v>
      </c>
      <c r="F174" s="109">
        <v>885.73259999999868</v>
      </c>
      <c r="G174" s="109">
        <v>1293.9772000000003</v>
      </c>
      <c r="H174" s="109">
        <v>978.32139999999936</v>
      </c>
      <c r="I174" s="109">
        <v>633.63729999999987</v>
      </c>
      <c r="J174" s="109">
        <v>563.4097999999999</v>
      </c>
      <c r="K174" s="109">
        <v>0</v>
      </c>
      <c r="L174" s="109">
        <v>50.837200000000003</v>
      </c>
      <c r="M174" s="109">
        <v>0</v>
      </c>
      <c r="N174" s="109">
        <v>0</v>
      </c>
      <c r="O174" s="109">
        <v>4471.9433999999937</v>
      </c>
    </row>
    <row r="175" spans="2:15" ht="12.75" customHeight="1">
      <c r="B175" s="729"/>
      <c r="C175" s="731" t="s">
        <v>194</v>
      </c>
      <c r="D175" s="107">
        <v>2007</v>
      </c>
      <c r="E175" s="108">
        <v>246.95980000000006</v>
      </c>
      <c r="F175" s="109">
        <v>1414.7896999999996</v>
      </c>
      <c r="G175" s="109">
        <v>1238.1834000000003</v>
      </c>
      <c r="H175" s="109">
        <v>1273.9443000000001</v>
      </c>
      <c r="I175" s="109">
        <v>707.13700000000017</v>
      </c>
      <c r="J175" s="109">
        <v>539.10720000000003</v>
      </c>
      <c r="K175" s="109">
        <v>0</v>
      </c>
      <c r="L175" s="109">
        <v>49.440599999999989</v>
      </c>
      <c r="M175" s="109">
        <v>0</v>
      </c>
      <c r="N175" s="109">
        <v>0</v>
      </c>
      <c r="O175" s="109">
        <v>5469.561999999999</v>
      </c>
    </row>
    <row r="176" spans="2:15" ht="12.75" customHeight="1">
      <c r="B176" s="729"/>
      <c r="C176" s="731" t="s">
        <v>194</v>
      </c>
      <c r="D176" s="107">
        <v>2008</v>
      </c>
      <c r="E176" s="108">
        <v>233.26789999999994</v>
      </c>
      <c r="F176" s="109">
        <v>804.03809999999987</v>
      </c>
      <c r="G176" s="109">
        <v>942.18050000000005</v>
      </c>
      <c r="H176" s="109">
        <v>1197.3001999999988</v>
      </c>
      <c r="I176" s="109">
        <v>641.77030000000013</v>
      </c>
      <c r="J176" s="109">
        <v>541.25070000000005</v>
      </c>
      <c r="K176" s="109">
        <v>0</v>
      </c>
      <c r="L176" s="109">
        <v>48.678899999999985</v>
      </c>
      <c r="M176" s="109">
        <v>0</v>
      </c>
      <c r="N176" s="109">
        <v>0</v>
      </c>
      <c r="O176" s="109">
        <v>4408.4865999999993</v>
      </c>
    </row>
    <row r="177" spans="2:15" ht="12.75" customHeight="1">
      <c r="B177" s="729"/>
      <c r="C177" s="731" t="s">
        <v>194</v>
      </c>
      <c r="D177" s="107">
        <v>2009</v>
      </c>
      <c r="E177" s="108">
        <v>179.47989999999996</v>
      </c>
      <c r="F177" s="109">
        <v>761.27059999999994</v>
      </c>
      <c r="G177" s="109">
        <v>1034.4354000000001</v>
      </c>
      <c r="H177" s="109">
        <v>1158.0699000000004</v>
      </c>
      <c r="I177" s="109">
        <v>811.99429999999995</v>
      </c>
      <c r="J177" s="109">
        <v>539.4482999999999</v>
      </c>
      <c r="K177" s="109">
        <v>0</v>
      </c>
      <c r="L177" s="109">
        <v>93.988999999999976</v>
      </c>
      <c r="M177" s="109">
        <v>0</v>
      </c>
      <c r="N177" s="109">
        <v>0</v>
      </c>
      <c r="O177" s="109">
        <v>4578.6874000000007</v>
      </c>
    </row>
    <row r="178" spans="2:15" ht="12.75" customHeight="1">
      <c r="B178" s="729"/>
      <c r="C178" s="731" t="s">
        <v>194</v>
      </c>
      <c r="D178" s="107">
        <v>2010</v>
      </c>
      <c r="E178" s="108">
        <v>146.1293</v>
      </c>
      <c r="F178" s="109">
        <v>612.31149999999991</v>
      </c>
      <c r="G178" s="109">
        <v>1007.7641999999998</v>
      </c>
      <c r="H178" s="109">
        <v>1064.7745999999997</v>
      </c>
      <c r="I178" s="109">
        <v>880.31849999999986</v>
      </c>
      <c r="J178" s="109">
        <v>660.30469999999991</v>
      </c>
      <c r="K178" s="109">
        <v>4.5</v>
      </c>
      <c r="L178" s="109">
        <v>215.0849</v>
      </c>
      <c r="M178" s="109">
        <v>0</v>
      </c>
      <c r="N178" s="109">
        <v>0</v>
      </c>
      <c r="O178" s="109">
        <v>4591.1877000000004</v>
      </c>
    </row>
    <row r="179" spans="2:15" ht="12.75" customHeight="1">
      <c r="B179" s="729"/>
      <c r="C179" s="731" t="s">
        <v>194</v>
      </c>
      <c r="D179" s="107">
        <v>2011</v>
      </c>
      <c r="E179" s="108">
        <v>35.473399999999998</v>
      </c>
      <c r="F179" s="109">
        <v>516.23389999999995</v>
      </c>
      <c r="G179" s="109">
        <v>848.79540000000009</v>
      </c>
      <c r="H179" s="109">
        <v>934.25170000000026</v>
      </c>
      <c r="I179" s="109">
        <v>1057.6020999999998</v>
      </c>
      <c r="J179" s="109">
        <v>725.97209999999984</v>
      </c>
      <c r="K179" s="109">
        <v>12.5</v>
      </c>
      <c r="L179" s="109">
        <v>250.20070000000001</v>
      </c>
      <c r="M179" s="109">
        <v>0</v>
      </c>
      <c r="N179" s="109">
        <v>0</v>
      </c>
      <c r="O179" s="109">
        <v>4381.0293000000011</v>
      </c>
    </row>
    <row r="180" spans="2:15" ht="12.75" customHeight="1">
      <c r="B180" s="729"/>
      <c r="C180" s="731" t="s">
        <v>194</v>
      </c>
      <c r="D180" s="107">
        <v>2012</v>
      </c>
      <c r="E180" s="108">
        <v>18.985599999999998</v>
      </c>
      <c r="F180" s="109">
        <v>451.50869999999992</v>
      </c>
      <c r="G180" s="109">
        <v>914.2924999999999</v>
      </c>
      <c r="H180" s="109">
        <v>1033.5957999999998</v>
      </c>
      <c r="I180" s="109">
        <v>1202.6959999999999</v>
      </c>
      <c r="J180" s="109">
        <v>525.65879999999993</v>
      </c>
      <c r="K180" s="109">
        <v>13.2912</v>
      </c>
      <c r="L180" s="109">
        <v>247.63949999999994</v>
      </c>
      <c r="M180" s="109">
        <v>0</v>
      </c>
      <c r="N180" s="109">
        <v>0</v>
      </c>
      <c r="O180" s="109">
        <v>4407.6681000000008</v>
      </c>
    </row>
    <row r="181" spans="2:15" ht="12.75" customHeight="1">
      <c r="B181" s="729"/>
      <c r="C181" s="732" t="s">
        <v>194</v>
      </c>
      <c r="D181" s="115">
        <v>2013</v>
      </c>
      <c r="E181" s="112">
        <v>8.375</v>
      </c>
      <c r="F181" s="113">
        <v>501.52449999999988</v>
      </c>
      <c r="G181" s="113">
        <v>816.43610000000012</v>
      </c>
      <c r="H181" s="113">
        <v>857.99060000000009</v>
      </c>
      <c r="I181" s="113">
        <v>1391.8266000000003</v>
      </c>
      <c r="J181" s="113">
        <v>511.17449999999985</v>
      </c>
      <c r="K181" s="113">
        <v>24.786599999999993</v>
      </c>
      <c r="L181" s="113">
        <v>257.55070000000006</v>
      </c>
      <c r="M181" s="113">
        <v>0</v>
      </c>
      <c r="N181" s="113">
        <v>0</v>
      </c>
      <c r="O181" s="113">
        <v>4369.664600000001</v>
      </c>
    </row>
    <row r="182" spans="2:15">
      <c r="B182" s="729"/>
      <c r="C182" s="728" t="s">
        <v>232</v>
      </c>
      <c r="D182" s="107">
        <v>2006</v>
      </c>
      <c r="E182" s="108">
        <v>204.23549999999997</v>
      </c>
      <c r="F182" s="109">
        <v>243.89879999999999</v>
      </c>
      <c r="G182" s="109">
        <v>124.75599999999997</v>
      </c>
      <c r="H182" s="109">
        <v>428.81670000000003</v>
      </c>
      <c r="I182" s="109">
        <v>129.12039999999999</v>
      </c>
      <c r="J182" s="109">
        <v>10.123200000000002</v>
      </c>
      <c r="K182" s="109">
        <v>0</v>
      </c>
      <c r="L182" s="109">
        <v>0</v>
      </c>
      <c r="M182" s="109">
        <v>0</v>
      </c>
      <c r="N182" s="109">
        <v>0</v>
      </c>
      <c r="O182" s="109">
        <v>1140.9506000000001</v>
      </c>
    </row>
    <row r="183" spans="2:15" ht="12.75" customHeight="1">
      <c r="B183" s="729"/>
      <c r="C183" s="731"/>
      <c r="D183" s="107">
        <v>2007</v>
      </c>
      <c r="E183" s="108">
        <v>173.35199999999998</v>
      </c>
      <c r="F183" s="109">
        <v>296.8218</v>
      </c>
      <c r="G183" s="109">
        <v>120.38369999999996</v>
      </c>
      <c r="H183" s="109">
        <v>508.07780000000002</v>
      </c>
      <c r="I183" s="109">
        <v>115.04300000000002</v>
      </c>
      <c r="J183" s="109">
        <v>26.5961</v>
      </c>
      <c r="K183" s="109">
        <v>0</v>
      </c>
      <c r="L183" s="109">
        <v>0</v>
      </c>
      <c r="M183" s="109">
        <v>0</v>
      </c>
      <c r="N183" s="109">
        <v>0</v>
      </c>
      <c r="O183" s="109">
        <v>1240.2744000000002</v>
      </c>
    </row>
    <row r="184" spans="2:15" ht="12.75" customHeight="1">
      <c r="B184" s="729"/>
      <c r="C184" s="731"/>
      <c r="D184" s="107">
        <v>2008</v>
      </c>
      <c r="E184" s="108">
        <v>168.41399999999999</v>
      </c>
      <c r="F184" s="109">
        <v>247.44010000000006</v>
      </c>
      <c r="G184" s="109">
        <v>95.591399999999979</v>
      </c>
      <c r="H184" s="109">
        <v>504.14150000000012</v>
      </c>
      <c r="I184" s="109">
        <v>114.3891</v>
      </c>
      <c r="J184" s="109">
        <v>27.393999999999998</v>
      </c>
      <c r="K184" s="109">
        <v>0</v>
      </c>
      <c r="L184" s="109">
        <v>0</v>
      </c>
      <c r="M184" s="109">
        <v>0</v>
      </c>
      <c r="N184" s="109">
        <v>0</v>
      </c>
      <c r="O184" s="109">
        <v>1157.3701000000001</v>
      </c>
    </row>
    <row r="185" spans="2:15" ht="12.75" customHeight="1">
      <c r="B185" s="729"/>
      <c r="C185" s="731"/>
      <c r="D185" s="107">
        <v>2009</v>
      </c>
      <c r="E185" s="108">
        <v>180.02040000000002</v>
      </c>
      <c r="F185" s="109">
        <v>369.69229999999993</v>
      </c>
      <c r="G185" s="109">
        <v>91.957899999999981</v>
      </c>
      <c r="H185" s="109">
        <v>413.79289999999992</v>
      </c>
      <c r="I185" s="109">
        <v>88.518699999999981</v>
      </c>
      <c r="J185" s="109">
        <v>40.792999999999999</v>
      </c>
      <c r="K185" s="109">
        <v>0</v>
      </c>
      <c r="L185" s="109">
        <v>0</v>
      </c>
      <c r="M185" s="109">
        <v>0</v>
      </c>
      <c r="N185" s="109">
        <v>0</v>
      </c>
      <c r="O185" s="109">
        <v>1184.7752</v>
      </c>
    </row>
    <row r="186" spans="2:15" ht="12.75" customHeight="1">
      <c r="B186" s="729"/>
      <c r="C186" s="731"/>
      <c r="D186" s="107">
        <v>2010</v>
      </c>
      <c r="E186" s="108">
        <v>151.37570000000002</v>
      </c>
      <c r="F186" s="109">
        <v>384.57600000000008</v>
      </c>
      <c r="G186" s="109">
        <v>155.91159999999996</v>
      </c>
      <c r="H186" s="109">
        <v>136.63140000000004</v>
      </c>
      <c r="I186" s="109">
        <v>67.823900000000009</v>
      </c>
      <c r="J186" s="109">
        <v>43.656100000000009</v>
      </c>
      <c r="K186" s="109">
        <v>0</v>
      </c>
      <c r="L186" s="109">
        <v>0</v>
      </c>
      <c r="M186" s="109">
        <v>0</v>
      </c>
      <c r="N186" s="109">
        <v>0</v>
      </c>
      <c r="O186" s="109">
        <v>939.97469999999998</v>
      </c>
    </row>
    <row r="187" spans="2:15" ht="12.75" customHeight="1">
      <c r="B187" s="729"/>
      <c r="C187" s="731"/>
      <c r="D187" s="107">
        <v>2011</v>
      </c>
      <c r="E187" s="108">
        <v>0</v>
      </c>
      <c r="F187" s="109">
        <v>0</v>
      </c>
      <c r="G187" s="109">
        <v>0</v>
      </c>
      <c r="H187" s="109">
        <v>0</v>
      </c>
      <c r="I187" s="109">
        <v>0</v>
      </c>
      <c r="J187" s="109">
        <v>0</v>
      </c>
      <c r="K187" s="109">
        <v>0</v>
      </c>
      <c r="L187" s="109">
        <v>0</v>
      </c>
      <c r="M187" s="109">
        <v>0</v>
      </c>
      <c r="N187" s="109">
        <v>0</v>
      </c>
      <c r="O187" s="109">
        <v>0</v>
      </c>
    </row>
    <row r="188" spans="2:15" ht="12.75" customHeight="1">
      <c r="B188" s="729"/>
      <c r="C188" s="731"/>
      <c r="D188" s="107">
        <v>2012</v>
      </c>
      <c r="E188" s="108">
        <v>0</v>
      </c>
      <c r="F188" s="109">
        <v>0</v>
      </c>
      <c r="G188" s="109">
        <v>0</v>
      </c>
      <c r="H188" s="109">
        <v>0</v>
      </c>
      <c r="I188" s="109">
        <v>0</v>
      </c>
      <c r="J188" s="109">
        <v>0</v>
      </c>
      <c r="K188" s="109">
        <v>0</v>
      </c>
      <c r="L188" s="109">
        <v>0</v>
      </c>
      <c r="M188" s="109">
        <v>0</v>
      </c>
      <c r="N188" s="109">
        <v>0</v>
      </c>
      <c r="O188" s="109">
        <v>0</v>
      </c>
    </row>
    <row r="189" spans="2:15" ht="12.75" customHeight="1">
      <c r="B189" s="729"/>
      <c r="C189" s="732"/>
      <c r="D189" s="115">
        <v>2013</v>
      </c>
      <c r="E189" s="112">
        <v>0</v>
      </c>
      <c r="F189" s="113">
        <v>0</v>
      </c>
      <c r="G189" s="113">
        <v>0</v>
      </c>
      <c r="H189" s="113">
        <v>0</v>
      </c>
      <c r="I189" s="113">
        <v>0</v>
      </c>
      <c r="J189" s="113">
        <v>0</v>
      </c>
      <c r="K189" s="113">
        <v>0</v>
      </c>
      <c r="L189" s="113">
        <v>0</v>
      </c>
      <c r="M189" s="113">
        <v>0</v>
      </c>
      <c r="N189" s="113">
        <v>0</v>
      </c>
      <c r="O189" s="113">
        <v>0</v>
      </c>
    </row>
    <row r="190" spans="2:15">
      <c r="B190" s="729"/>
      <c r="C190" s="728" t="s">
        <v>196</v>
      </c>
      <c r="D190" s="107">
        <v>2006</v>
      </c>
      <c r="E190" s="108">
        <v>100.07880000000006</v>
      </c>
      <c r="F190" s="109">
        <v>265.62039999999985</v>
      </c>
      <c r="G190" s="109">
        <v>174.01400000000001</v>
      </c>
      <c r="H190" s="109">
        <v>210.33960000000002</v>
      </c>
      <c r="I190" s="109">
        <v>319.5736</v>
      </c>
      <c r="J190" s="109">
        <v>357.16250000000008</v>
      </c>
      <c r="K190" s="109">
        <v>9.0823999999999998</v>
      </c>
      <c r="L190" s="109">
        <v>0</v>
      </c>
      <c r="M190" s="109">
        <v>0</v>
      </c>
      <c r="N190" s="109">
        <v>0</v>
      </c>
      <c r="O190" s="109">
        <v>1435.8713000000002</v>
      </c>
    </row>
    <row r="191" spans="2:15" ht="12.75" customHeight="1">
      <c r="B191" s="729"/>
      <c r="C191" s="731" t="s">
        <v>196</v>
      </c>
      <c r="D191" s="107">
        <v>2007</v>
      </c>
      <c r="E191" s="108">
        <v>95.59520000000002</v>
      </c>
      <c r="F191" s="109">
        <v>233.5017</v>
      </c>
      <c r="G191" s="109">
        <v>232.49049999999994</v>
      </c>
      <c r="H191" s="109">
        <v>198.27000000000004</v>
      </c>
      <c r="I191" s="109">
        <v>460.45519999999999</v>
      </c>
      <c r="J191" s="109">
        <v>240.72050000000007</v>
      </c>
      <c r="K191" s="109">
        <v>5.7926000000000002</v>
      </c>
      <c r="L191" s="109">
        <v>0</v>
      </c>
      <c r="M191" s="109">
        <v>0</v>
      </c>
      <c r="N191" s="109">
        <v>0</v>
      </c>
      <c r="O191" s="109">
        <v>1466.8256999999996</v>
      </c>
    </row>
    <row r="192" spans="2:15" ht="12.75" customHeight="1">
      <c r="B192" s="729"/>
      <c r="C192" s="731" t="s">
        <v>196</v>
      </c>
      <c r="D192" s="107">
        <v>2008</v>
      </c>
      <c r="E192" s="108">
        <v>100.90470000000002</v>
      </c>
      <c r="F192" s="109">
        <v>289.90559999999999</v>
      </c>
      <c r="G192" s="109">
        <v>215.45820000000001</v>
      </c>
      <c r="H192" s="109">
        <v>215.37440000000001</v>
      </c>
      <c r="I192" s="109">
        <v>528.28420000000017</v>
      </c>
      <c r="J192" s="109">
        <v>164.9435</v>
      </c>
      <c r="K192" s="109">
        <v>3.5</v>
      </c>
      <c r="L192" s="109">
        <v>0</v>
      </c>
      <c r="M192" s="109">
        <v>0</v>
      </c>
      <c r="N192" s="109">
        <v>0</v>
      </c>
      <c r="O192" s="109">
        <v>1518.3706000000004</v>
      </c>
    </row>
    <row r="193" spans="2:15" ht="12.75" customHeight="1">
      <c r="B193" s="729"/>
      <c r="C193" s="731" t="s">
        <v>196</v>
      </c>
      <c r="D193" s="107">
        <v>2009</v>
      </c>
      <c r="E193" s="108">
        <v>128.18219999999999</v>
      </c>
      <c r="F193" s="109">
        <v>303.05349999999993</v>
      </c>
      <c r="G193" s="109">
        <v>368.64190000000002</v>
      </c>
      <c r="H193" s="109">
        <v>392.13569999999993</v>
      </c>
      <c r="I193" s="109">
        <v>570.62919999999997</v>
      </c>
      <c r="J193" s="109">
        <v>148.00190000000001</v>
      </c>
      <c r="K193" s="109">
        <v>5.125</v>
      </c>
      <c r="L193" s="109">
        <v>0</v>
      </c>
      <c r="M193" s="109">
        <v>0</v>
      </c>
      <c r="N193" s="109">
        <v>0</v>
      </c>
      <c r="O193" s="109">
        <v>1915.7693999999999</v>
      </c>
    </row>
    <row r="194" spans="2:15" ht="12.75" customHeight="1">
      <c r="B194" s="729"/>
      <c r="C194" s="731" t="s">
        <v>196</v>
      </c>
      <c r="D194" s="107">
        <v>2010</v>
      </c>
      <c r="E194" s="108">
        <v>95.57529999999997</v>
      </c>
      <c r="F194" s="109">
        <v>275.88259999999968</v>
      </c>
      <c r="G194" s="109">
        <v>411.54569999999995</v>
      </c>
      <c r="H194" s="109">
        <v>364.23509999999999</v>
      </c>
      <c r="I194" s="109">
        <v>613.6783999999999</v>
      </c>
      <c r="J194" s="109">
        <v>133.37520000000001</v>
      </c>
      <c r="K194" s="109">
        <v>4.75</v>
      </c>
      <c r="L194" s="109">
        <v>0</v>
      </c>
      <c r="M194" s="109">
        <v>0</v>
      </c>
      <c r="N194" s="109">
        <v>0</v>
      </c>
      <c r="O194" s="109">
        <v>1899.0423000000001</v>
      </c>
    </row>
    <row r="195" spans="2:15" ht="12.75" customHeight="1">
      <c r="B195" s="729"/>
      <c r="C195" s="731" t="s">
        <v>196</v>
      </c>
      <c r="D195" s="107">
        <v>2011</v>
      </c>
      <c r="E195" s="108">
        <v>51.5989</v>
      </c>
      <c r="F195" s="109">
        <v>249.67279999999994</v>
      </c>
      <c r="G195" s="109">
        <v>352.32130000000006</v>
      </c>
      <c r="H195" s="109">
        <v>492.02730000000014</v>
      </c>
      <c r="I195" s="109">
        <v>553.72910000000013</v>
      </c>
      <c r="J195" s="109">
        <v>142.80080000000001</v>
      </c>
      <c r="K195" s="109">
        <v>6.875</v>
      </c>
      <c r="L195" s="109">
        <v>0</v>
      </c>
      <c r="M195" s="109">
        <v>0</v>
      </c>
      <c r="N195" s="109">
        <v>0</v>
      </c>
      <c r="O195" s="109">
        <v>1849.0252000000003</v>
      </c>
    </row>
    <row r="196" spans="2:15" ht="12.75" customHeight="1">
      <c r="B196" s="729"/>
      <c r="C196" s="731" t="s">
        <v>196</v>
      </c>
      <c r="D196" s="107">
        <v>2012</v>
      </c>
      <c r="E196" s="108">
        <v>53.917900000000003</v>
      </c>
      <c r="F196" s="109">
        <v>291.87349999999998</v>
      </c>
      <c r="G196" s="109">
        <v>388.46269999999993</v>
      </c>
      <c r="H196" s="109">
        <v>558.38610000000017</v>
      </c>
      <c r="I196" s="109">
        <v>499.02870000000001</v>
      </c>
      <c r="J196" s="109">
        <v>157.34630000000004</v>
      </c>
      <c r="K196" s="109">
        <v>7.75</v>
      </c>
      <c r="L196" s="109">
        <v>0</v>
      </c>
      <c r="M196" s="109">
        <v>0</v>
      </c>
      <c r="N196" s="109">
        <v>0</v>
      </c>
      <c r="O196" s="109">
        <v>1956.7651999999996</v>
      </c>
    </row>
    <row r="197" spans="2:15" ht="12.75" customHeight="1">
      <c r="B197" s="729"/>
      <c r="C197" s="732" t="s">
        <v>196</v>
      </c>
      <c r="D197" s="115">
        <v>2013</v>
      </c>
      <c r="E197" s="112">
        <v>58.619799999999984</v>
      </c>
      <c r="F197" s="113">
        <v>302.49540000000002</v>
      </c>
      <c r="G197" s="113">
        <v>350.65480000000008</v>
      </c>
      <c r="H197" s="113">
        <v>454.87339999999995</v>
      </c>
      <c r="I197" s="113">
        <v>441.34520000000009</v>
      </c>
      <c r="J197" s="113">
        <v>153.29440000000002</v>
      </c>
      <c r="K197" s="113">
        <v>12.5</v>
      </c>
      <c r="L197" s="113">
        <v>0</v>
      </c>
      <c r="M197" s="113">
        <v>0</v>
      </c>
      <c r="N197" s="113">
        <v>0</v>
      </c>
      <c r="O197" s="113">
        <v>1773.7830000000004</v>
      </c>
    </row>
    <row r="198" spans="2:15">
      <c r="B198" s="729"/>
      <c r="C198" s="728" t="s">
        <v>197</v>
      </c>
      <c r="D198" s="107">
        <v>2006</v>
      </c>
      <c r="E198" s="108">
        <v>78.731999999999985</v>
      </c>
      <c r="F198" s="109">
        <v>351.95649999999995</v>
      </c>
      <c r="G198" s="109">
        <v>327.1293</v>
      </c>
      <c r="H198" s="109">
        <v>508.51199999999989</v>
      </c>
      <c r="I198" s="109">
        <v>434.51940000000002</v>
      </c>
      <c r="J198" s="109">
        <v>364.86169999999993</v>
      </c>
      <c r="K198" s="109">
        <v>0</v>
      </c>
      <c r="L198" s="109">
        <v>0</v>
      </c>
      <c r="M198" s="109">
        <v>0</v>
      </c>
      <c r="N198" s="109">
        <v>0</v>
      </c>
      <c r="O198" s="109">
        <v>2065.7109</v>
      </c>
    </row>
    <row r="199" spans="2:15" ht="12.75" customHeight="1">
      <c r="B199" s="729"/>
      <c r="C199" s="731" t="s">
        <v>197</v>
      </c>
      <c r="D199" s="107">
        <v>2007</v>
      </c>
      <c r="E199" s="108">
        <v>99.833799999999968</v>
      </c>
      <c r="F199" s="109">
        <v>544.0791999999999</v>
      </c>
      <c r="G199" s="109">
        <v>618.60849999999982</v>
      </c>
      <c r="H199" s="109">
        <v>541.73049999999989</v>
      </c>
      <c r="I199" s="109">
        <v>579.31380000000013</v>
      </c>
      <c r="J199" s="109">
        <v>348.97789999999992</v>
      </c>
      <c r="K199" s="109">
        <v>0</v>
      </c>
      <c r="L199" s="109">
        <v>0</v>
      </c>
      <c r="M199" s="109">
        <v>0</v>
      </c>
      <c r="N199" s="109">
        <v>0</v>
      </c>
      <c r="O199" s="109">
        <v>2732.5437000000002</v>
      </c>
    </row>
    <row r="200" spans="2:15" ht="12.75" customHeight="1">
      <c r="B200" s="729"/>
      <c r="C200" s="731" t="s">
        <v>197</v>
      </c>
      <c r="D200" s="107">
        <v>2008</v>
      </c>
      <c r="E200" s="108">
        <v>115.82899999999999</v>
      </c>
      <c r="F200" s="109">
        <v>774.69099999999992</v>
      </c>
      <c r="G200" s="109">
        <v>658.28090000000009</v>
      </c>
      <c r="H200" s="109">
        <v>707.32390000000009</v>
      </c>
      <c r="I200" s="109">
        <v>513.82220000000018</v>
      </c>
      <c r="J200" s="109">
        <v>368.88519999999994</v>
      </c>
      <c r="K200" s="109">
        <v>0</v>
      </c>
      <c r="L200" s="109">
        <v>0</v>
      </c>
      <c r="M200" s="109">
        <v>0</v>
      </c>
      <c r="N200" s="109">
        <v>0</v>
      </c>
      <c r="O200" s="109">
        <v>3138.8321999999976</v>
      </c>
    </row>
    <row r="201" spans="2:15" ht="12.75" customHeight="1">
      <c r="B201" s="729"/>
      <c r="C201" s="731" t="s">
        <v>197</v>
      </c>
      <c r="D201" s="107">
        <v>2009</v>
      </c>
      <c r="E201" s="108">
        <v>112.8304</v>
      </c>
      <c r="F201" s="109">
        <v>665.90699999999947</v>
      </c>
      <c r="G201" s="109">
        <v>757.27330000000018</v>
      </c>
      <c r="H201" s="109">
        <v>791.58429999999987</v>
      </c>
      <c r="I201" s="109">
        <v>661.13409999999988</v>
      </c>
      <c r="J201" s="109">
        <v>446.78579999999999</v>
      </c>
      <c r="K201" s="109">
        <v>4</v>
      </c>
      <c r="L201" s="109">
        <v>0</v>
      </c>
      <c r="M201" s="109">
        <v>0</v>
      </c>
      <c r="N201" s="109">
        <v>0</v>
      </c>
      <c r="O201" s="109">
        <v>3439.5148999999992</v>
      </c>
    </row>
    <row r="202" spans="2:15" ht="12.75" customHeight="1">
      <c r="B202" s="729"/>
      <c r="C202" s="731" t="s">
        <v>197</v>
      </c>
      <c r="D202" s="107">
        <v>2010</v>
      </c>
      <c r="E202" s="108">
        <v>129.60659999999996</v>
      </c>
      <c r="F202" s="109">
        <v>451.93079999999992</v>
      </c>
      <c r="G202" s="109">
        <v>625.10160000000008</v>
      </c>
      <c r="H202" s="109">
        <v>826.9242999999999</v>
      </c>
      <c r="I202" s="109">
        <v>908.44230000000005</v>
      </c>
      <c r="J202" s="109">
        <v>555.25670000000002</v>
      </c>
      <c r="K202" s="109">
        <v>51.50010000000001</v>
      </c>
      <c r="L202" s="109">
        <v>0</v>
      </c>
      <c r="M202" s="109">
        <v>0</v>
      </c>
      <c r="N202" s="109">
        <v>0</v>
      </c>
      <c r="O202" s="109">
        <v>3548.7624000000005</v>
      </c>
    </row>
    <row r="203" spans="2:15" ht="12.75" customHeight="1">
      <c r="B203" s="729"/>
      <c r="C203" s="731" t="s">
        <v>197</v>
      </c>
      <c r="D203" s="107">
        <v>2011</v>
      </c>
      <c r="E203" s="108">
        <v>135.94659999999999</v>
      </c>
      <c r="F203" s="109">
        <v>264.99160000000006</v>
      </c>
      <c r="G203" s="109">
        <v>537.31990000000008</v>
      </c>
      <c r="H203" s="109">
        <v>664.93810000000042</v>
      </c>
      <c r="I203" s="109">
        <v>951.53380000000027</v>
      </c>
      <c r="J203" s="109">
        <v>773.12860000000046</v>
      </c>
      <c r="K203" s="109">
        <v>193.95829999999998</v>
      </c>
      <c r="L203" s="109">
        <v>0</v>
      </c>
      <c r="M203" s="109">
        <v>0</v>
      </c>
      <c r="N203" s="109">
        <v>0</v>
      </c>
      <c r="O203" s="109">
        <v>3521.8168999999998</v>
      </c>
    </row>
    <row r="204" spans="2:15" ht="12.75" customHeight="1">
      <c r="B204" s="729"/>
      <c r="C204" s="731" t="s">
        <v>197</v>
      </c>
      <c r="D204" s="107">
        <v>2012</v>
      </c>
      <c r="E204" s="108">
        <v>154.26749999999996</v>
      </c>
      <c r="F204" s="109">
        <v>309.96919999999994</v>
      </c>
      <c r="G204" s="109">
        <v>654.78750000000002</v>
      </c>
      <c r="H204" s="109">
        <v>713.04679999999985</v>
      </c>
      <c r="I204" s="109">
        <v>986.14250000000027</v>
      </c>
      <c r="J204" s="109">
        <v>901.75740000000064</v>
      </c>
      <c r="K204" s="109">
        <v>225.9991</v>
      </c>
      <c r="L204" s="109">
        <v>0</v>
      </c>
      <c r="M204" s="109">
        <v>0</v>
      </c>
      <c r="N204" s="109">
        <v>0</v>
      </c>
      <c r="O204" s="109">
        <v>3945.97</v>
      </c>
    </row>
    <row r="205" spans="2:15" ht="12.75" customHeight="1">
      <c r="B205" s="729"/>
      <c r="C205" s="732" t="s">
        <v>197</v>
      </c>
      <c r="D205" s="115">
        <v>2013</v>
      </c>
      <c r="E205" s="112">
        <v>15.863600000000003</v>
      </c>
      <c r="F205" s="113">
        <v>340.28569999999996</v>
      </c>
      <c r="G205" s="113">
        <v>789.43940000000009</v>
      </c>
      <c r="H205" s="113">
        <v>751.97620000000018</v>
      </c>
      <c r="I205" s="113">
        <v>885.49990000000014</v>
      </c>
      <c r="J205" s="113">
        <v>728.81169999999986</v>
      </c>
      <c r="K205" s="113">
        <v>200.83389999999997</v>
      </c>
      <c r="L205" s="113">
        <v>0</v>
      </c>
      <c r="M205" s="113">
        <v>0</v>
      </c>
      <c r="N205" s="113">
        <v>0</v>
      </c>
      <c r="O205" s="113">
        <v>3712.7103999999995</v>
      </c>
    </row>
    <row r="206" spans="2:15">
      <c r="B206" s="729"/>
      <c r="C206" s="728" t="s">
        <v>198</v>
      </c>
      <c r="D206" s="107">
        <v>2006</v>
      </c>
      <c r="E206" s="108">
        <v>80.486799999999988</v>
      </c>
      <c r="F206" s="109">
        <v>1294.5977999999971</v>
      </c>
      <c r="G206" s="109">
        <v>665.29879999999855</v>
      </c>
      <c r="H206" s="109">
        <v>781.32120000000009</v>
      </c>
      <c r="I206" s="109">
        <v>1060.5307000000003</v>
      </c>
      <c r="J206" s="109">
        <v>1431.7376999999997</v>
      </c>
      <c r="K206" s="109">
        <v>89.267599999999987</v>
      </c>
      <c r="L206" s="109">
        <v>58</v>
      </c>
      <c r="M206" s="109">
        <v>8.0821999999999985</v>
      </c>
      <c r="N206" s="109">
        <v>0</v>
      </c>
      <c r="O206" s="109">
        <v>5469.3227999999917</v>
      </c>
    </row>
    <row r="207" spans="2:15" ht="12.75" customHeight="1">
      <c r="B207" s="729"/>
      <c r="C207" s="731" t="s">
        <v>198</v>
      </c>
      <c r="D207" s="107">
        <v>2007</v>
      </c>
      <c r="E207" s="108">
        <v>46.386099999999999</v>
      </c>
      <c r="F207" s="109">
        <v>1112.2684999999999</v>
      </c>
      <c r="G207" s="109">
        <v>626.15689999999984</v>
      </c>
      <c r="H207" s="109">
        <v>785.36359999999991</v>
      </c>
      <c r="I207" s="109">
        <v>858.42070000000001</v>
      </c>
      <c r="J207" s="109">
        <v>1344.2736</v>
      </c>
      <c r="K207" s="109">
        <v>109.25600000000001</v>
      </c>
      <c r="L207" s="109">
        <v>67.214799999999983</v>
      </c>
      <c r="M207" s="109">
        <v>15.582999999999997</v>
      </c>
      <c r="N207" s="109">
        <v>0</v>
      </c>
      <c r="O207" s="109">
        <v>4964.9232000000011</v>
      </c>
    </row>
    <row r="208" spans="2:15" ht="12.75" customHeight="1">
      <c r="B208" s="729"/>
      <c r="C208" s="731" t="s">
        <v>198</v>
      </c>
      <c r="D208" s="107">
        <v>2008</v>
      </c>
      <c r="E208" s="108">
        <v>89.439400000000006</v>
      </c>
      <c r="F208" s="109">
        <v>961.17979999999864</v>
      </c>
      <c r="G208" s="109">
        <v>691.30979999999988</v>
      </c>
      <c r="H208" s="109">
        <v>1084.4863999999998</v>
      </c>
      <c r="I208" s="109">
        <v>957.52560000000005</v>
      </c>
      <c r="J208" s="109">
        <v>1405.3734999999997</v>
      </c>
      <c r="K208" s="109">
        <v>180.79499999999996</v>
      </c>
      <c r="L208" s="109">
        <v>65.421400000000006</v>
      </c>
      <c r="M208" s="109">
        <v>13.899499999999996</v>
      </c>
      <c r="N208" s="109">
        <v>0</v>
      </c>
      <c r="O208" s="109">
        <v>5449.4303999999947</v>
      </c>
    </row>
    <row r="209" spans="2:15" ht="12.75" customHeight="1">
      <c r="B209" s="729"/>
      <c r="C209" s="731" t="s">
        <v>198</v>
      </c>
      <c r="D209" s="107">
        <v>2009</v>
      </c>
      <c r="E209" s="108">
        <v>128.44249999999997</v>
      </c>
      <c r="F209" s="109">
        <v>928.03139999999996</v>
      </c>
      <c r="G209" s="109">
        <v>519.84900000000016</v>
      </c>
      <c r="H209" s="109">
        <v>985.96669999999938</v>
      </c>
      <c r="I209" s="109">
        <v>910.61030000000005</v>
      </c>
      <c r="J209" s="109">
        <v>1652.3713000000002</v>
      </c>
      <c r="K209" s="109">
        <v>193.81</v>
      </c>
      <c r="L209" s="109">
        <v>63.953800000000001</v>
      </c>
      <c r="M209" s="109">
        <v>14.317499999999997</v>
      </c>
      <c r="N209" s="109">
        <v>0</v>
      </c>
      <c r="O209" s="109">
        <v>5397.3524999999963</v>
      </c>
    </row>
    <row r="210" spans="2:15" ht="12.75" customHeight="1">
      <c r="B210" s="729"/>
      <c r="C210" s="731" t="s">
        <v>198</v>
      </c>
      <c r="D210" s="107">
        <v>2010</v>
      </c>
      <c r="E210" s="108">
        <v>24.997499999999999</v>
      </c>
      <c r="F210" s="109">
        <v>603.9027000000001</v>
      </c>
      <c r="G210" s="109">
        <v>453.15710000000001</v>
      </c>
      <c r="H210" s="109">
        <v>1261.4458000000004</v>
      </c>
      <c r="I210" s="109">
        <v>982.67269999999996</v>
      </c>
      <c r="J210" s="109">
        <v>1995.3437000000004</v>
      </c>
      <c r="K210" s="109">
        <v>187.69719999999998</v>
      </c>
      <c r="L210" s="109">
        <v>64.5</v>
      </c>
      <c r="M210" s="109">
        <v>15.6014</v>
      </c>
      <c r="N210" s="109">
        <v>0</v>
      </c>
      <c r="O210" s="109">
        <v>5589.3181000000004</v>
      </c>
    </row>
    <row r="211" spans="2:15" ht="12.75" customHeight="1">
      <c r="B211" s="729"/>
      <c r="C211" s="731" t="s">
        <v>198</v>
      </c>
      <c r="D211" s="107">
        <v>2011</v>
      </c>
      <c r="E211" s="108">
        <v>22.914699999999996</v>
      </c>
      <c r="F211" s="109">
        <v>535.01050000000009</v>
      </c>
      <c r="G211" s="109">
        <v>522.77610000000016</v>
      </c>
      <c r="H211" s="109">
        <v>979.44970000000001</v>
      </c>
      <c r="I211" s="109">
        <v>1075.5432999999998</v>
      </c>
      <c r="J211" s="109">
        <v>2336.0216999999998</v>
      </c>
      <c r="K211" s="109">
        <v>192.37759999999997</v>
      </c>
      <c r="L211" s="109">
        <v>59.659999999999989</v>
      </c>
      <c r="M211" s="109">
        <v>19.2485</v>
      </c>
      <c r="N211" s="109">
        <v>0</v>
      </c>
      <c r="O211" s="109">
        <v>5743.0020999999997</v>
      </c>
    </row>
    <row r="212" spans="2:15" ht="12.75" customHeight="1">
      <c r="B212" s="729"/>
      <c r="C212" s="731" t="s">
        <v>198</v>
      </c>
      <c r="D212" s="107">
        <v>2012</v>
      </c>
      <c r="E212" s="108">
        <v>36.997700000000009</v>
      </c>
      <c r="F212" s="109">
        <v>487.29149999999998</v>
      </c>
      <c r="G212" s="109">
        <v>501.62900000000013</v>
      </c>
      <c r="H212" s="109">
        <v>972.10969999999998</v>
      </c>
      <c r="I212" s="109">
        <v>1104.4022999999997</v>
      </c>
      <c r="J212" s="109">
        <v>2504.4065999999993</v>
      </c>
      <c r="K212" s="109">
        <v>145.97980000000004</v>
      </c>
      <c r="L212" s="109">
        <v>76.590000000000018</v>
      </c>
      <c r="M212" s="109">
        <v>28.234299999999994</v>
      </c>
      <c r="N212" s="109">
        <v>0</v>
      </c>
      <c r="O212" s="109">
        <v>5857.6408999999985</v>
      </c>
    </row>
    <row r="213" spans="2:15" ht="12.75" customHeight="1">
      <c r="B213" s="729"/>
      <c r="C213" s="732" t="s">
        <v>198</v>
      </c>
      <c r="D213" s="115">
        <v>2013</v>
      </c>
      <c r="E213" s="112">
        <v>42.497799999999998</v>
      </c>
      <c r="F213" s="113">
        <v>508.4051000000004</v>
      </c>
      <c r="G213" s="113">
        <v>499.17399999999986</v>
      </c>
      <c r="H213" s="113">
        <v>979.14359999999999</v>
      </c>
      <c r="I213" s="113">
        <v>1093.5440000000001</v>
      </c>
      <c r="J213" s="113">
        <v>2413.6079000000004</v>
      </c>
      <c r="K213" s="113">
        <v>151.52390000000003</v>
      </c>
      <c r="L213" s="113">
        <v>97.534999999999997</v>
      </c>
      <c r="M213" s="113">
        <v>24.789999999999992</v>
      </c>
      <c r="N213" s="113">
        <v>0</v>
      </c>
      <c r="O213" s="113">
        <v>5810.2212999999983</v>
      </c>
    </row>
    <row r="214" spans="2:15">
      <c r="B214" s="729"/>
      <c r="C214" s="728" t="s">
        <v>233</v>
      </c>
      <c r="D214" s="107">
        <v>2006</v>
      </c>
      <c r="E214" s="108">
        <v>2086.5324000000005</v>
      </c>
      <c r="F214" s="109">
        <v>570.47310000000152</v>
      </c>
      <c r="G214" s="109">
        <v>340.04399999999964</v>
      </c>
      <c r="H214" s="109">
        <v>1316.5897000000057</v>
      </c>
      <c r="I214" s="109">
        <v>2131.846000000005</v>
      </c>
      <c r="J214" s="109">
        <v>935.58540000000175</v>
      </c>
      <c r="K214" s="109">
        <v>46.946799999999989</v>
      </c>
      <c r="L214" s="109">
        <v>0</v>
      </c>
      <c r="M214" s="109">
        <v>0</v>
      </c>
      <c r="N214" s="109">
        <v>0</v>
      </c>
      <c r="O214" s="109">
        <v>7428.0173999999179</v>
      </c>
    </row>
    <row r="215" spans="2:15" ht="12.75" customHeight="1">
      <c r="B215" s="729"/>
      <c r="C215" s="731" t="s">
        <v>233</v>
      </c>
      <c r="D215" s="107">
        <v>2007</v>
      </c>
      <c r="E215" s="108">
        <v>1414.2868000000021</v>
      </c>
      <c r="F215" s="109">
        <v>875.74370000000226</v>
      </c>
      <c r="G215" s="109">
        <v>331.47390000000075</v>
      </c>
      <c r="H215" s="109">
        <v>1358.9401000000048</v>
      </c>
      <c r="I215" s="109">
        <v>2258.3612000000057</v>
      </c>
      <c r="J215" s="109">
        <v>824.74370000000135</v>
      </c>
      <c r="K215" s="109">
        <v>51.754100000000001</v>
      </c>
      <c r="L215" s="109">
        <v>0</v>
      </c>
      <c r="M215" s="109">
        <v>0</v>
      </c>
      <c r="N215" s="109">
        <v>0</v>
      </c>
      <c r="O215" s="109">
        <v>7115.30349999999</v>
      </c>
    </row>
    <row r="216" spans="2:15" ht="12.75" customHeight="1">
      <c r="B216" s="729"/>
      <c r="C216" s="731" t="s">
        <v>233</v>
      </c>
      <c r="D216" s="107">
        <v>2008</v>
      </c>
      <c r="E216" s="108">
        <v>17.125299999999996</v>
      </c>
      <c r="F216" s="109">
        <v>623.77859999999941</v>
      </c>
      <c r="G216" s="109">
        <v>295.66640000000001</v>
      </c>
      <c r="H216" s="109">
        <v>1096.9078000000077</v>
      </c>
      <c r="I216" s="109">
        <v>2165.262800000005</v>
      </c>
      <c r="J216" s="109">
        <v>815.99570000000131</v>
      </c>
      <c r="K216" s="109">
        <v>40.879199999999997</v>
      </c>
      <c r="L216" s="109">
        <v>0</v>
      </c>
      <c r="M216" s="109">
        <v>0</v>
      </c>
      <c r="N216" s="109">
        <v>0</v>
      </c>
      <c r="O216" s="109">
        <v>5055.6157999999814</v>
      </c>
    </row>
    <row r="217" spans="2:15" ht="12.75" customHeight="1">
      <c r="B217" s="729"/>
      <c r="C217" s="731" t="s">
        <v>233</v>
      </c>
      <c r="D217" s="107">
        <v>2009</v>
      </c>
      <c r="E217" s="108">
        <v>4.4331999999999994</v>
      </c>
      <c r="F217" s="109">
        <v>677.48949999999945</v>
      </c>
      <c r="G217" s="109">
        <v>352.75809999999996</v>
      </c>
      <c r="H217" s="109">
        <v>1448.8557000000051</v>
      </c>
      <c r="I217" s="109">
        <v>2357.2836000000025</v>
      </c>
      <c r="J217" s="109">
        <v>965.68560000000184</v>
      </c>
      <c r="K217" s="109">
        <v>50.41879999999999</v>
      </c>
      <c r="L217" s="109">
        <v>0</v>
      </c>
      <c r="M217" s="109">
        <v>0</v>
      </c>
      <c r="N217" s="109">
        <v>0</v>
      </c>
      <c r="O217" s="109">
        <v>5856.9244999999792</v>
      </c>
    </row>
    <row r="218" spans="2:15" ht="12.75" customHeight="1">
      <c r="B218" s="729"/>
      <c r="C218" s="731" t="s">
        <v>233</v>
      </c>
      <c r="D218" s="107">
        <v>2010</v>
      </c>
      <c r="E218" s="108">
        <v>401.31790000000007</v>
      </c>
      <c r="F218" s="109">
        <v>706.95630000000062</v>
      </c>
      <c r="G218" s="109">
        <v>481.5115999999997</v>
      </c>
      <c r="H218" s="109">
        <v>1496.2433000000003</v>
      </c>
      <c r="I218" s="109">
        <v>2536.5381000000002</v>
      </c>
      <c r="J218" s="109">
        <v>1014.6846999999992</v>
      </c>
      <c r="K218" s="109">
        <v>49.348500000000001</v>
      </c>
      <c r="L218" s="109">
        <v>0</v>
      </c>
      <c r="M218" s="109">
        <v>0</v>
      </c>
      <c r="N218" s="109">
        <v>0</v>
      </c>
      <c r="O218" s="109">
        <v>6686.6003999999693</v>
      </c>
    </row>
    <row r="219" spans="2:15" ht="12.75" customHeight="1">
      <c r="B219" s="729"/>
      <c r="C219" s="731" t="s">
        <v>233</v>
      </c>
      <c r="D219" s="107">
        <v>2011</v>
      </c>
      <c r="E219" s="108">
        <v>410.4649</v>
      </c>
      <c r="F219" s="109">
        <v>744.95510000000013</v>
      </c>
      <c r="G219" s="109">
        <v>418.50769999999994</v>
      </c>
      <c r="H219" s="109">
        <v>1259.356800000003</v>
      </c>
      <c r="I219" s="109">
        <v>1860.4911000000025</v>
      </c>
      <c r="J219" s="109">
        <v>1227.6000000000004</v>
      </c>
      <c r="K219" s="109">
        <v>49.172799999999988</v>
      </c>
      <c r="L219" s="109">
        <v>0</v>
      </c>
      <c r="M219" s="109">
        <v>0</v>
      </c>
      <c r="N219" s="109">
        <v>0</v>
      </c>
      <c r="O219" s="109">
        <v>5970.548399999976</v>
      </c>
    </row>
    <row r="220" spans="2:15" ht="12.75" customHeight="1">
      <c r="B220" s="729"/>
      <c r="C220" s="731" t="s">
        <v>233</v>
      </c>
      <c r="D220" s="107">
        <v>2012</v>
      </c>
      <c r="E220" s="108">
        <v>537.71820000000014</v>
      </c>
      <c r="F220" s="109">
        <v>303.41670000000005</v>
      </c>
      <c r="G220" s="109">
        <v>705.23869999999999</v>
      </c>
      <c r="H220" s="109">
        <v>1514.5442000000019</v>
      </c>
      <c r="I220" s="109">
        <v>1558.350600000002</v>
      </c>
      <c r="J220" s="109">
        <v>1376.2008000000003</v>
      </c>
      <c r="K220" s="109">
        <v>60.81410000000001</v>
      </c>
      <c r="L220" s="109">
        <v>0</v>
      </c>
      <c r="M220" s="109">
        <v>0</v>
      </c>
      <c r="N220" s="109">
        <v>0</v>
      </c>
      <c r="O220" s="109">
        <v>6056.2832999999819</v>
      </c>
    </row>
    <row r="221" spans="2:15" ht="12.75" customHeight="1">
      <c r="B221" s="729"/>
      <c r="C221" s="732" t="s">
        <v>233</v>
      </c>
      <c r="D221" s="115">
        <v>2013</v>
      </c>
      <c r="E221" s="112">
        <v>591.32890000000043</v>
      </c>
      <c r="F221" s="113">
        <v>189.28880000000001</v>
      </c>
      <c r="G221" s="113">
        <v>675.70009999999991</v>
      </c>
      <c r="H221" s="113">
        <v>1325.6903000000018</v>
      </c>
      <c r="I221" s="113">
        <v>1396.2109000000028</v>
      </c>
      <c r="J221" s="113">
        <v>1387.7016000000003</v>
      </c>
      <c r="K221" s="113">
        <v>62.416199999999989</v>
      </c>
      <c r="L221" s="113">
        <v>0</v>
      </c>
      <c r="M221" s="113">
        <v>0</v>
      </c>
      <c r="N221" s="113">
        <v>0</v>
      </c>
      <c r="O221" s="113">
        <v>5628.3367999999882</v>
      </c>
    </row>
    <row r="222" spans="2:15">
      <c r="B222" s="729"/>
      <c r="C222" s="728" t="s">
        <v>200</v>
      </c>
      <c r="D222" s="107">
        <v>2006</v>
      </c>
      <c r="E222" s="108">
        <v>99.134599999999978</v>
      </c>
      <c r="F222" s="109">
        <v>188.19419999999997</v>
      </c>
      <c r="G222" s="109">
        <v>1153.5400000000009</v>
      </c>
      <c r="H222" s="109">
        <v>557.29129999999986</v>
      </c>
      <c r="I222" s="109">
        <v>811.38240000000053</v>
      </c>
      <c r="J222" s="109">
        <v>0</v>
      </c>
      <c r="K222" s="109">
        <v>0</v>
      </c>
      <c r="L222" s="109">
        <v>0</v>
      </c>
      <c r="M222" s="109">
        <v>0</v>
      </c>
      <c r="N222" s="109">
        <v>0</v>
      </c>
      <c r="O222" s="109">
        <v>2809.5424999999955</v>
      </c>
    </row>
    <row r="223" spans="2:15" ht="12.75" customHeight="1">
      <c r="B223" s="729"/>
      <c r="C223" s="731" t="s">
        <v>200</v>
      </c>
      <c r="D223" s="107">
        <v>2007</v>
      </c>
      <c r="E223" s="108">
        <v>104.70459999999991</v>
      </c>
      <c r="F223" s="109">
        <v>326.35390000000001</v>
      </c>
      <c r="G223" s="109">
        <v>982.98020000000281</v>
      </c>
      <c r="H223" s="109">
        <v>819.98800000000017</v>
      </c>
      <c r="I223" s="109">
        <v>551.44740000000002</v>
      </c>
      <c r="J223" s="109">
        <v>0</v>
      </c>
      <c r="K223" s="109">
        <v>0</v>
      </c>
      <c r="L223" s="109">
        <v>0</v>
      </c>
      <c r="M223" s="109">
        <v>0</v>
      </c>
      <c r="N223" s="109">
        <v>0</v>
      </c>
      <c r="O223" s="109">
        <v>2785.4740999999958</v>
      </c>
    </row>
    <row r="224" spans="2:15" ht="12.75" customHeight="1">
      <c r="B224" s="729"/>
      <c r="C224" s="731" t="s">
        <v>200</v>
      </c>
      <c r="D224" s="107">
        <v>2008</v>
      </c>
      <c r="E224" s="108">
        <v>139.8839999999999</v>
      </c>
      <c r="F224" s="109">
        <v>267.19770000000005</v>
      </c>
      <c r="G224" s="109">
        <v>580.62469999999962</v>
      </c>
      <c r="H224" s="109">
        <v>779.64030000000014</v>
      </c>
      <c r="I224" s="109">
        <v>471.02140000000003</v>
      </c>
      <c r="J224" s="109">
        <v>0</v>
      </c>
      <c r="K224" s="109">
        <v>0</v>
      </c>
      <c r="L224" s="109">
        <v>0</v>
      </c>
      <c r="M224" s="109">
        <v>0</v>
      </c>
      <c r="N224" s="109">
        <v>0</v>
      </c>
      <c r="O224" s="109">
        <v>2238.3681000000001</v>
      </c>
    </row>
    <row r="225" spans="2:15" ht="12.75" customHeight="1">
      <c r="B225" s="729"/>
      <c r="C225" s="731" t="s">
        <v>200</v>
      </c>
      <c r="D225" s="107">
        <v>2009</v>
      </c>
      <c r="E225" s="108">
        <v>121.51840000000003</v>
      </c>
      <c r="F225" s="109">
        <v>262.86899999999991</v>
      </c>
      <c r="G225" s="109">
        <v>701.29970000000014</v>
      </c>
      <c r="H225" s="109">
        <v>497.17899999999997</v>
      </c>
      <c r="I225" s="109">
        <v>596.31670000000008</v>
      </c>
      <c r="J225" s="109">
        <v>0</v>
      </c>
      <c r="K225" s="109">
        <v>0</v>
      </c>
      <c r="L225" s="109">
        <v>0</v>
      </c>
      <c r="M225" s="109">
        <v>0</v>
      </c>
      <c r="N225" s="109">
        <v>0</v>
      </c>
      <c r="O225" s="109">
        <v>2179.1828000000005</v>
      </c>
    </row>
    <row r="226" spans="2:15" ht="12.75" customHeight="1">
      <c r="B226" s="729"/>
      <c r="C226" s="731" t="s">
        <v>200</v>
      </c>
      <c r="D226" s="107">
        <v>2010</v>
      </c>
      <c r="E226" s="108">
        <v>12.233400000000003</v>
      </c>
      <c r="F226" s="109">
        <v>301.71420000000006</v>
      </c>
      <c r="G226" s="109">
        <v>1019.3687000000008</v>
      </c>
      <c r="H226" s="109">
        <v>431.22550000000007</v>
      </c>
      <c r="I226" s="109">
        <v>501.62390000000011</v>
      </c>
      <c r="J226" s="109">
        <v>0</v>
      </c>
      <c r="K226" s="109">
        <v>0</v>
      </c>
      <c r="L226" s="109">
        <v>0</v>
      </c>
      <c r="M226" s="109">
        <v>0</v>
      </c>
      <c r="N226" s="109">
        <v>0</v>
      </c>
      <c r="O226" s="109">
        <v>2266.1657000000027</v>
      </c>
    </row>
    <row r="227" spans="2:15" ht="12.75" customHeight="1">
      <c r="B227" s="729"/>
      <c r="C227" s="731" t="s">
        <v>200</v>
      </c>
      <c r="D227" s="107">
        <v>2011</v>
      </c>
      <c r="E227" s="108">
        <v>110.57189999999999</v>
      </c>
      <c r="F227" s="109">
        <v>245.37410000000006</v>
      </c>
      <c r="G227" s="109">
        <v>803.60960000000011</v>
      </c>
      <c r="H227" s="109">
        <v>487.81129999999985</v>
      </c>
      <c r="I227" s="109">
        <v>542.76310000000001</v>
      </c>
      <c r="J227" s="109">
        <v>0</v>
      </c>
      <c r="K227" s="109">
        <v>0</v>
      </c>
      <c r="L227" s="109">
        <v>0</v>
      </c>
      <c r="M227" s="109">
        <v>0</v>
      </c>
      <c r="N227" s="109">
        <v>0</v>
      </c>
      <c r="O227" s="109">
        <v>2190.1300000000019</v>
      </c>
    </row>
    <row r="228" spans="2:15" ht="12.75" customHeight="1">
      <c r="B228" s="729"/>
      <c r="C228" s="731" t="s">
        <v>200</v>
      </c>
      <c r="D228" s="107">
        <v>2012</v>
      </c>
      <c r="E228" s="108">
        <v>196.88180000000025</v>
      </c>
      <c r="F228" s="109">
        <v>234.72890000000007</v>
      </c>
      <c r="G228" s="109">
        <v>1059.1189000000002</v>
      </c>
      <c r="H228" s="109">
        <v>535.23419999999999</v>
      </c>
      <c r="I228" s="109">
        <v>362.00349999999975</v>
      </c>
      <c r="J228" s="109">
        <v>0</v>
      </c>
      <c r="K228" s="109">
        <v>0</v>
      </c>
      <c r="L228" s="109">
        <v>0</v>
      </c>
      <c r="M228" s="109">
        <v>0</v>
      </c>
      <c r="N228" s="109">
        <v>0</v>
      </c>
      <c r="O228" s="109">
        <v>2387.9673000000007</v>
      </c>
    </row>
    <row r="229" spans="2:15" ht="12.75" customHeight="1">
      <c r="B229" s="729"/>
      <c r="C229" s="732" t="s">
        <v>200</v>
      </c>
      <c r="D229" s="115">
        <v>2013</v>
      </c>
      <c r="E229" s="112">
        <v>210.4538000000002</v>
      </c>
      <c r="F229" s="113">
        <v>183.16620000000003</v>
      </c>
      <c r="G229" s="113">
        <v>1208.9054000000003</v>
      </c>
      <c r="H229" s="113">
        <v>384.25640000000004</v>
      </c>
      <c r="I229" s="113">
        <v>369.52120000000008</v>
      </c>
      <c r="J229" s="113">
        <v>0</v>
      </c>
      <c r="K229" s="113">
        <v>0</v>
      </c>
      <c r="L229" s="113">
        <v>0</v>
      </c>
      <c r="M229" s="113">
        <v>0</v>
      </c>
      <c r="N229" s="113">
        <v>0</v>
      </c>
      <c r="O229" s="113">
        <v>2356.3030000000017</v>
      </c>
    </row>
    <row r="230" spans="2:15">
      <c r="B230" s="729"/>
      <c r="C230" s="728" t="s">
        <v>201</v>
      </c>
      <c r="D230" s="107">
        <v>2006</v>
      </c>
      <c r="E230" s="108">
        <v>4.7519999999999989</v>
      </c>
      <c r="F230" s="109">
        <v>1352.3264000000243</v>
      </c>
      <c r="G230" s="109">
        <v>321.94290000000001</v>
      </c>
      <c r="H230" s="109">
        <v>35.445800000000006</v>
      </c>
      <c r="I230" s="109">
        <v>7</v>
      </c>
      <c r="J230" s="109">
        <v>0</v>
      </c>
      <c r="K230" s="109">
        <v>0</v>
      </c>
      <c r="L230" s="109">
        <v>0</v>
      </c>
      <c r="M230" s="109">
        <v>0</v>
      </c>
      <c r="N230" s="109">
        <v>0</v>
      </c>
      <c r="O230" s="109">
        <v>1721.4671000000299</v>
      </c>
    </row>
    <row r="231" spans="2:15" ht="12.75" customHeight="1">
      <c r="B231" s="729"/>
      <c r="C231" s="731" t="s">
        <v>201</v>
      </c>
      <c r="D231" s="107">
        <v>2007</v>
      </c>
      <c r="E231" s="108">
        <v>4.9540000000000015</v>
      </c>
      <c r="F231" s="109">
        <v>1026.604599999999</v>
      </c>
      <c r="G231" s="109">
        <v>476.39720000000062</v>
      </c>
      <c r="H231" s="109">
        <v>46.706699999999984</v>
      </c>
      <c r="I231" s="109">
        <v>50.29590000000001</v>
      </c>
      <c r="J231" s="109">
        <v>0</v>
      </c>
      <c r="K231" s="109">
        <v>0</v>
      </c>
      <c r="L231" s="109">
        <v>0</v>
      </c>
      <c r="M231" s="109">
        <v>0</v>
      </c>
      <c r="N231" s="109">
        <v>0</v>
      </c>
      <c r="O231" s="109">
        <v>1604.9584000000002</v>
      </c>
    </row>
    <row r="232" spans="2:15" ht="12.75" customHeight="1">
      <c r="B232" s="729"/>
      <c r="C232" s="731" t="s">
        <v>201</v>
      </c>
      <c r="D232" s="107">
        <v>2008</v>
      </c>
      <c r="E232" s="108">
        <v>5.0780000000000003</v>
      </c>
      <c r="F232" s="109">
        <v>702.99040000000139</v>
      </c>
      <c r="G232" s="109">
        <v>431.94230000000033</v>
      </c>
      <c r="H232" s="109">
        <v>47.003599999999985</v>
      </c>
      <c r="I232" s="109">
        <v>39.159300000000002</v>
      </c>
      <c r="J232" s="109">
        <v>0</v>
      </c>
      <c r="K232" s="109">
        <v>0</v>
      </c>
      <c r="L232" s="109">
        <v>0</v>
      </c>
      <c r="M232" s="109">
        <v>0</v>
      </c>
      <c r="N232" s="109">
        <v>0</v>
      </c>
      <c r="O232" s="109">
        <v>1226.1735999999996</v>
      </c>
    </row>
    <row r="233" spans="2:15" ht="12.75" customHeight="1">
      <c r="B233" s="729"/>
      <c r="C233" s="731" t="s">
        <v>201</v>
      </c>
      <c r="D233" s="107">
        <v>2009</v>
      </c>
      <c r="E233" s="108">
        <v>5.4839999999999991</v>
      </c>
      <c r="F233" s="109">
        <v>707.73770000000059</v>
      </c>
      <c r="G233" s="109">
        <v>333.70750000000032</v>
      </c>
      <c r="H233" s="109">
        <v>40.273699999999998</v>
      </c>
      <c r="I233" s="109">
        <v>42.435699999999997</v>
      </c>
      <c r="J233" s="109">
        <v>0</v>
      </c>
      <c r="K233" s="109">
        <v>0</v>
      </c>
      <c r="L233" s="109">
        <v>0</v>
      </c>
      <c r="M233" s="109">
        <v>0</v>
      </c>
      <c r="N233" s="109">
        <v>0</v>
      </c>
      <c r="O233" s="109">
        <v>1129.6385999999998</v>
      </c>
    </row>
    <row r="234" spans="2:15" ht="12.75" customHeight="1">
      <c r="B234" s="729"/>
      <c r="C234" s="731" t="s">
        <v>201</v>
      </c>
      <c r="D234" s="107">
        <v>2010</v>
      </c>
      <c r="E234" s="108">
        <v>4.1189999999999998</v>
      </c>
      <c r="F234" s="109">
        <v>688.42350000000079</v>
      </c>
      <c r="G234" s="109">
        <v>295.85739999999998</v>
      </c>
      <c r="H234" s="109">
        <v>50.233499999999985</v>
      </c>
      <c r="I234" s="109">
        <v>28.917000000000005</v>
      </c>
      <c r="J234" s="109">
        <v>0</v>
      </c>
      <c r="K234" s="109">
        <v>0</v>
      </c>
      <c r="L234" s="109">
        <v>0</v>
      </c>
      <c r="M234" s="109">
        <v>0</v>
      </c>
      <c r="N234" s="109">
        <v>0</v>
      </c>
      <c r="O234" s="109">
        <v>1067.5504000000001</v>
      </c>
    </row>
    <row r="235" spans="2:15" ht="12.75" customHeight="1">
      <c r="B235" s="729"/>
      <c r="C235" s="731" t="s">
        <v>201</v>
      </c>
      <c r="D235" s="107">
        <v>2011</v>
      </c>
      <c r="E235" s="108">
        <v>0</v>
      </c>
      <c r="F235" s="109">
        <v>0</v>
      </c>
      <c r="G235" s="109">
        <v>0</v>
      </c>
      <c r="H235" s="109">
        <v>0</v>
      </c>
      <c r="I235" s="109">
        <v>0</v>
      </c>
      <c r="J235" s="109">
        <v>0</v>
      </c>
      <c r="K235" s="109">
        <v>0</v>
      </c>
      <c r="L235" s="109">
        <v>0</v>
      </c>
      <c r="M235" s="109">
        <v>0</v>
      </c>
      <c r="N235" s="109">
        <v>0</v>
      </c>
      <c r="O235" s="109">
        <v>0</v>
      </c>
    </row>
    <row r="236" spans="2:15" ht="12.75" customHeight="1">
      <c r="B236" s="729"/>
      <c r="C236" s="731" t="s">
        <v>201</v>
      </c>
      <c r="D236" s="107">
        <v>2012</v>
      </c>
      <c r="E236" s="108">
        <v>0</v>
      </c>
      <c r="F236" s="109">
        <v>0</v>
      </c>
      <c r="G236" s="109">
        <v>0</v>
      </c>
      <c r="H236" s="109">
        <v>0</v>
      </c>
      <c r="I236" s="109">
        <v>0</v>
      </c>
      <c r="J236" s="109">
        <v>0</v>
      </c>
      <c r="K236" s="109">
        <v>0</v>
      </c>
      <c r="L236" s="109">
        <v>0</v>
      </c>
      <c r="M236" s="109">
        <v>0</v>
      </c>
      <c r="N236" s="109">
        <v>0</v>
      </c>
      <c r="O236" s="109">
        <v>0</v>
      </c>
    </row>
    <row r="237" spans="2:15" ht="12.75" customHeight="1">
      <c r="B237" s="729"/>
      <c r="C237" s="732" t="s">
        <v>201</v>
      </c>
      <c r="D237" s="115">
        <v>2013</v>
      </c>
      <c r="E237" s="112">
        <v>0</v>
      </c>
      <c r="F237" s="113">
        <v>0</v>
      </c>
      <c r="G237" s="113">
        <v>0</v>
      </c>
      <c r="H237" s="113">
        <v>0</v>
      </c>
      <c r="I237" s="113">
        <v>0</v>
      </c>
      <c r="J237" s="113">
        <v>0</v>
      </c>
      <c r="K237" s="113">
        <v>0</v>
      </c>
      <c r="L237" s="113">
        <v>0</v>
      </c>
      <c r="M237" s="113">
        <v>0</v>
      </c>
      <c r="N237" s="113">
        <v>0</v>
      </c>
      <c r="O237" s="113">
        <v>0</v>
      </c>
    </row>
    <row r="238" spans="2:15">
      <c r="B238" s="729"/>
      <c r="C238" s="728" t="s">
        <v>119</v>
      </c>
      <c r="D238" s="107">
        <v>2006</v>
      </c>
      <c r="E238" s="108">
        <v>3573.2078999999999</v>
      </c>
      <c r="F238" s="109">
        <v>11218.207299999987</v>
      </c>
      <c r="G238" s="109">
        <v>12141.671499999951</v>
      </c>
      <c r="H238" s="109">
        <v>15448.508499999974</v>
      </c>
      <c r="I238" s="109">
        <v>16084.888499999972</v>
      </c>
      <c r="J238" s="109">
        <v>14501.92109999999</v>
      </c>
      <c r="K238" s="109">
        <v>607.0367</v>
      </c>
      <c r="L238" s="109">
        <v>544.03719999999987</v>
      </c>
      <c r="M238" s="109">
        <v>286.97000000000003</v>
      </c>
      <c r="N238" s="109">
        <v>6.8743999999999996</v>
      </c>
      <c r="O238" s="109">
        <v>74413.323100000009</v>
      </c>
    </row>
    <row r="239" spans="2:15" ht="12.75" customHeight="1">
      <c r="B239" s="729"/>
      <c r="C239" s="731" t="s">
        <v>119</v>
      </c>
      <c r="D239" s="107">
        <v>2007</v>
      </c>
      <c r="E239" s="108">
        <v>2826.1123000000043</v>
      </c>
      <c r="F239" s="109">
        <v>11956.72520000001</v>
      </c>
      <c r="G239" s="109">
        <v>12884.004499999983</v>
      </c>
      <c r="H239" s="109">
        <v>16140.8982</v>
      </c>
      <c r="I239" s="109">
        <v>15897.887899999971</v>
      </c>
      <c r="J239" s="109">
        <v>14318.339199999988</v>
      </c>
      <c r="K239" s="109">
        <v>626.32299999999998</v>
      </c>
      <c r="L239" s="109">
        <v>529.41279999999995</v>
      </c>
      <c r="M239" s="109">
        <v>265.98679999999996</v>
      </c>
      <c r="N239" s="109">
        <v>7.5609999999999999</v>
      </c>
      <c r="O239" s="109">
        <v>75453.250900000116</v>
      </c>
    </row>
    <row r="240" spans="2:15" ht="12.75" customHeight="1">
      <c r="B240" s="729"/>
      <c r="C240" s="731" t="s">
        <v>119</v>
      </c>
      <c r="D240" s="107">
        <v>2008</v>
      </c>
      <c r="E240" s="108">
        <v>1562.2889999999998</v>
      </c>
      <c r="F240" s="109">
        <v>10660.941999999986</v>
      </c>
      <c r="G240" s="109">
        <v>12487.177199999991</v>
      </c>
      <c r="H240" s="109">
        <v>15844.48719999999</v>
      </c>
      <c r="I240" s="109">
        <v>15687.808299999971</v>
      </c>
      <c r="J240" s="109">
        <v>14447.12919999999</v>
      </c>
      <c r="K240" s="109">
        <v>770.89549999999986</v>
      </c>
      <c r="L240" s="109">
        <v>534.57870000000014</v>
      </c>
      <c r="M240" s="109">
        <v>273.73219999999992</v>
      </c>
      <c r="N240" s="109">
        <v>8.6069999999999993</v>
      </c>
      <c r="O240" s="109">
        <v>72277.646299999687</v>
      </c>
    </row>
    <row r="241" spans="2:15" ht="12.75" customHeight="1">
      <c r="B241" s="729"/>
      <c r="C241" s="731" t="s">
        <v>119</v>
      </c>
      <c r="D241" s="107">
        <v>2009</v>
      </c>
      <c r="E241" s="108">
        <v>1556.1743999999997</v>
      </c>
      <c r="F241" s="109">
        <v>10594.210800000001</v>
      </c>
      <c r="G241" s="109">
        <v>13425.360599999987</v>
      </c>
      <c r="H241" s="109">
        <v>16669.217800000002</v>
      </c>
      <c r="I241" s="109">
        <v>17522.707999999966</v>
      </c>
      <c r="J241" s="109">
        <v>16018.069600000001</v>
      </c>
      <c r="K241" s="109">
        <v>909.68779999999992</v>
      </c>
      <c r="L241" s="109">
        <v>646.17119999999989</v>
      </c>
      <c r="M241" s="109">
        <v>304.71159999999992</v>
      </c>
      <c r="N241" s="109">
        <v>4.7686000000000002</v>
      </c>
      <c r="O241" s="109">
        <v>77651.080399999875</v>
      </c>
    </row>
    <row r="242" spans="2:15" ht="12.75" customHeight="1">
      <c r="B242" s="729"/>
      <c r="C242" s="731" t="s">
        <v>119</v>
      </c>
      <c r="D242" s="107">
        <v>2010</v>
      </c>
      <c r="E242" s="108">
        <v>1671.0997999999997</v>
      </c>
      <c r="F242" s="109">
        <v>9818.3951000000143</v>
      </c>
      <c r="G242" s="109">
        <v>13698.749900000003</v>
      </c>
      <c r="H242" s="109">
        <v>15986.262500000003</v>
      </c>
      <c r="I242" s="109">
        <v>18338.086799999935</v>
      </c>
      <c r="J242" s="109">
        <v>18257.123799999983</v>
      </c>
      <c r="K242" s="109">
        <v>1073.0932999999991</v>
      </c>
      <c r="L242" s="109">
        <v>775.2641000000001</v>
      </c>
      <c r="M242" s="109">
        <v>329.94220000000001</v>
      </c>
      <c r="N242" s="109">
        <v>4.2523999999999997</v>
      </c>
      <c r="O242" s="109">
        <v>79952.269899999985</v>
      </c>
    </row>
    <row r="243" spans="2:15" ht="12.75" customHeight="1">
      <c r="B243" s="729"/>
      <c r="C243" s="731" t="s">
        <v>119</v>
      </c>
      <c r="D243" s="107">
        <v>2011</v>
      </c>
      <c r="E243" s="108">
        <v>1703.7556000000004</v>
      </c>
      <c r="F243" s="109">
        <v>9035.9033000000072</v>
      </c>
      <c r="G243" s="109">
        <v>12220.300100000004</v>
      </c>
      <c r="H243" s="109">
        <v>14530.599000000004</v>
      </c>
      <c r="I243" s="109">
        <v>17611.704699999951</v>
      </c>
      <c r="J243" s="109">
        <v>20328.962999999985</v>
      </c>
      <c r="K243" s="109">
        <v>1200.5856999999996</v>
      </c>
      <c r="L243" s="109">
        <v>778.36119999999983</v>
      </c>
      <c r="M243" s="109">
        <v>369.07819999999992</v>
      </c>
      <c r="N243" s="109">
        <v>5.3452999999999991</v>
      </c>
      <c r="O243" s="109">
        <v>77784.596099999821</v>
      </c>
    </row>
    <row r="244" spans="2:15" ht="12.75" customHeight="1">
      <c r="B244" s="729"/>
      <c r="C244" s="731" t="s">
        <v>119</v>
      </c>
      <c r="D244" s="107">
        <v>2012</v>
      </c>
      <c r="E244" s="108">
        <v>1839.8966999999998</v>
      </c>
      <c r="F244" s="109">
        <v>8505.4169000000056</v>
      </c>
      <c r="G244" s="109">
        <v>13281.47079999999</v>
      </c>
      <c r="H244" s="109">
        <v>15262.175200000003</v>
      </c>
      <c r="I244" s="109">
        <v>16949.492299999965</v>
      </c>
      <c r="J244" s="109">
        <v>21300.146599999982</v>
      </c>
      <c r="K244" s="109">
        <v>1412.2608999999998</v>
      </c>
      <c r="L244" s="109">
        <v>850.72579999999982</v>
      </c>
      <c r="M244" s="109">
        <v>388.05359999999996</v>
      </c>
      <c r="N244" s="109">
        <v>7.0709999999999988</v>
      </c>
      <c r="O244" s="109">
        <v>79796.709799999866</v>
      </c>
    </row>
    <row r="245" spans="2:15" ht="12.75" customHeight="1">
      <c r="B245" s="729"/>
      <c r="C245" s="732" t="s">
        <v>119</v>
      </c>
      <c r="D245" s="115">
        <v>2013</v>
      </c>
      <c r="E245" s="112">
        <v>1599.8741000000002</v>
      </c>
      <c r="F245" s="113">
        <v>6994.2767000000049</v>
      </c>
      <c r="G245" s="113">
        <v>13515.794399999997</v>
      </c>
      <c r="H245" s="113">
        <v>14683.693500000003</v>
      </c>
      <c r="I245" s="113">
        <v>15512.308899999971</v>
      </c>
      <c r="J245" s="113">
        <v>21309.146899999996</v>
      </c>
      <c r="K245" s="113">
        <v>1619.8574000000001</v>
      </c>
      <c r="L245" s="113">
        <v>837.09280000000012</v>
      </c>
      <c r="M245" s="113">
        <v>350.09199999999998</v>
      </c>
      <c r="N245" s="113">
        <v>8.1205999999999996</v>
      </c>
      <c r="O245" s="113">
        <v>76430.257299999983</v>
      </c>
    </row>
    <row r="246" spans="2:15" ht="12.75" customHeight="1">
      <c r="B246" s="728" t="s">
        <v>202</v>
      </c>
      <c r="C246" s="728" t="s">
        <v>203</v>
      </c>
      <c r="D246" s="107">
        <v>2006</v>
      </c>
      <c r="E246" s="108">
        <v>0</v>
      </c>
      <c r="F246" s="109">
        <v>0</v>
      </c>
      <c r="G246" s="109">
        <v>154.2508</v>
      </c>
      <c r="H246" s="109">
        <v>90.192700000000016</v>
      </c>
      <c r="I246" s="109">
        <v>665.3456000000001</v>
      </c>
      <c r="J246" s="109">
        <v>1513.0999000000013</v>
      </c>
      <c r="K246" s="109">
        <v>361.54140000000007</v>
      </c>
      <c r="L246" s="109">
        <v>35.867799999999995</v>
      </c>
      <c r="M246" s="109">
        <v>39.740000000000009</v>
      </c>
      <c r="N246" s="109">
        <v>0</v>
      </c>
      <c r="O246" s="109">
        <v>2860.0382000000004</v>
      </c>
    </row>
    <row r="247" spans="2:15" ht="12.75" customHeight="1">
      <c r="B247" s="729"/>
      <c r="C247" s="731" t="s">
        <v>203</v>
      </c>
      <c r="D247" s="107">
        <v>2007</v>
      </c>
      <c r="E247" s="108">
        <v>0</v>
      </c>
      <c r="F247" s="109">
        <v>0</v>
      </c>
      <c r="G247" s="109">
        <v>0</v>
      </c>
      <c r="H247" s="109">
        <v>0</v>
      </c>
      <c r="I247" s="109">
        <v>0</v>
      </c>
      <c r="J247" s="109">
        <v>0</v>
      </c>
      <c r="K247" s="109">
        <v>0</v>
      </c>
      <c r="L247" s="109">
        <v>0</v>
      </c>
      <c r="M247" s="109">
        <v>0</v>
      </c>
      <c r="N247" s="109">
        <v>0</v>
      </c>
      <c r="O247" s="109">
        <v>0</v>
      </c>
    </row>
    <row r="248" spans="2:15" ht="12.75" customHeight="1">
      <c r="B248" s="729"/>
      <c r="C248" s="731" t="s">
        <v>203</v>
      </c>
      <c r="D248" s="107">
        <v>2008</v>
      </c>
      <c r="E248" s="108">
        <v>0</v>
      </c>
      <c r="F248" s="109">
        <v>0</v>
      </c>
      <c r="G248" s="109">
        <v>0</v>
      </c>
      <c r="H248" s="109">
        <v>0</v>
      </c>
      <c r="I248" s="109">
        <v>0</v>
      </c>
      <c r="J248" s="109">
        <v>0</v>
      </c>
      <c r="K248" s="109">
        <v>0</v>
      </c>
      <c r="L248" s="109">
        <v>0</v>
      </c>
      <c r="M248" s="109">
        <v>0</v>
      </c>
      <c r="N248" s="109">
        <v>0</v>
      </c>
      <c r="O248" s="109">
        <v>0</v>
      </c>
    </row>
    <row r="249" spans="2:15" ht="12.75" customHeight="1">
      <c r="B249" s="729"/>
      <c r="C249" s="731" t="s">
        <v>203</v>
      </c>
      <c r="D249" s="107">
        <v>2009</v>
      </c>
      <c r="E249" s="108">
        <v>0</v>
      </c>
      <c r="F249" s="109">
        <v>0</v>
      </c>
      <c r="G249" s="109">
        <v>0</v>
      </c>
      <c r="H249" s="109">
        <v>0</v>
      </c>
      <c r="I249" s="109">
        <v>0</v>
      </c>
      <c r="J249" s="109">
        <v>0</v>
      </c>
      <c r="K249" s="109">
        <v>0</v>
      </c>
      <c r="L249" s="109">
        <v>0</v>
      </c>
      <c r="M249" s="109">
        <v>0</v>
      </c>
      <c r="N249" s="109">
        <v>0</v>
      </c>
      <c r="O249" s="109">
        <v>0</v>
      </c>
    </row>
    <row r="250" spans="2:15" ht="12.75" customHeight="1">
      <c r="B250" s="729"/>
      <c r="C250" s="731" t="s">
        <v>203</v>
      </c>
      <c r="D250" s="107">
        <v>2010</v>
      </c>
      <c r="E250" s="108">
        <v>0</v>
      </c>
      <c r="F250" s="109">
        <v>0</v>
      </c>
      <c r="G250" s="109">
        <v>0</v>
      </c>
      <c r="H250" s="109">
        <v>0</v>
      </c>
      <c r="I250" s="109">
        <v>0</v>
      </c>
      <c r="J250" s="109">
        <v>0</v>
      </c>
      <c r="K250" s="109">
        <v>0</v>
      </c>
      <c r="L250" s="109">
        <v>0</v>
      </c>
      <c r="M250" s="109">
        <v>0</v>
      </c>
      <c r="N250" s="109">
        <v>0</v>
      </c>
      <c r="O250" s="109">
        <v>0</v>
      </c>
    </row>
    <row r="251" spans="2:15" ht="12.75" customHeight="1">
      <c r="B251" s="729"/>
      <c r="C251" s="731" t="s">
        <v>203</v>
      </c>
      <c r="D251" s="107">
        <v>2011</v>
      </c>
      <c r="E251" s="108">
        <v>0</v>
      </c>
      <c r="F251" s="109">
        <v>0</v>
      </c>
      <c r="G251" s="109">
        <v>0</v>
      </c>
      <c r="H251" s="109">
        <v>0</v>
      </c>
      <c r="I251" s="109">
        <v>0</v>
      </c>
      <c r="J251" s="109">
        <v>0</v>
      </c>
      <c r="K251" s="109">
        <v>0</v>
      </c>
      <c r="L251" s="109">
        <v>0</v>
      </c>
      <c r="M251" s="109">
        <v>0</v>
      </c>
      <c r="N251" s="109">
        <v>0</v>
      </c>
      <c r="O251" s="109">
        <v>0</v>
      </c>
    </row>
    <row r="252" spans="2:15" ht="12.75" customHeight="1">
      <c r="B252" s="729"/>
      <c r="C252" s="731" t="s">
        <v>203</v>
      </c>
      <c r="D252" s="107">
        <v>2012</v>
      </c>
      <c r="E252" s="108">
        <v>0</v>
      </c>
      <c r="F252" s="109">
        <v>0</v>
      </c>
      <c r="G252" s="109">
        <v>0</v>
      </c>
      <c r="H252" s="109">
        <v>0</v>
      </c>
      <c r="I252" s="109">
        <v>0</v>
      </c>
      <c r="J252" s="109">
        <v>0</v>
      </c>
      <c r="K252" s="109">
        <v>0</v>
      </c>
      <c r="L252" s="109">
        <v>0</v>
      </c>
      <c r="M252" s="109">
        <v>0</v>
      </c>
      <c r="N252" s="109">
        <v>0</v>
      </c>
      <c r="O252" s="109">
        <v>0</v>
      </c>
    </row>
    <row r="253" spans="2:15" ht="12.75" customHeight="1">
      <c r="B253" s="729"/>
      <c r="C253" s="732" t="s">
        <v>203</v>
      </c>
      <c r="D253" s="111">
        <v>2013</v>
      </c>
      <c r="E253" s="112">
        <v>0</v>
      </c>
      <c r="F253" s="113">
        <v>0</v>
      </c>
      <c r="G253" s="113">
        <v>0</v>
      </c>
      <c r="H253" s="113">
        <v>0</v>
      </c>
      <c r="I253" s="113">
        <v>0</v>
      </c>
      <c r="J253" s="113">
        <v>0</v>
      </c>
      <c r="K253" s="113">
        <v>0</v>
      </c>
      <c r="L253" s="113">
        <v>0</v>
      </c>
      <c r="M253" s="113">
        <v>0</v>
      </c>
      <c r="N253" s="113">
        <v>0</v>
      </c>
      <c r="O253" s="113">
        <v>0</v>
      </c>
    </row>
    <row r="254" spans="2:15" ht="12.75" customHeight="1">
      <c r="B254" s="729"/>
      <c r="C254" s="728" t="s">
        <v>204</v>
      </c>
      <c r="D254" s="107">
        <v>2006</v>
      </c>
      <c r="E254" s="108">
        <v>0</v>
      </c>
      <c r="F254" s="109">
        <v>0</v>
      </c>
      <c r="G254" s="109">
        <v>0</v>
      </c>
      <c r="H254" s="109">
        <v>4.7356999999999996</v>
      </c>
      <c r="I254" s="109">
        <v>82.309399999999997</v>
      </c>
      <c r="J254" s="109">
        <v>590.0064000000001</v>
      </c>
      <c r="K254" s="109">
        <v>179.84829999999999</v>
      </c>
      <c r="L254" s="109">
        <v>19.833299999999998</v>
      </c>
      <c r="M254" s="109">
        <v>8.75</v>
      </c>
      <c r="N254" s="109">
        <v>0</v>
      </c>
      <c r="O254" s="109">
        <v>885.48310000000004</v>
      </c>
    </row>
    <row r="255" spans="2:15" ht="12.75" customHeight="1">
      <c r="B255" s="729"/>
      <c r="C255" s="731" t="s">
        <v>204</v>
      </c>
      <c r="D255" s="107">
        <v>2007</v>
      </c>
      <c r="E255" s="108">
        <v>0</v>
      </c>
      <c r="F255" s="109">
        <v>0</v>
      </c>
      <c r="G255" s="109">
        <v>0</v>
      </c>
      <c r="H255" s="109">
        <v>0</v>
      </c>
      <c r="I255" s="109">
        <v>0</v>
      </c>
      <c r="J255" s="109">
        <v>0</v>
      </c>
      <c r="K255" s="109">
        <v>0</v>
      </c>
      <c r="L255" s="109">
        <v>0</v>
      </c>
      <c r="M255" s="109">
        <v>0</v>
      </c>
      <c r="N255" s="109">
        <v>0</v>
      </c>
      <c r="O255" s="109">
        <v>0</v>
      </c>
    </row>
    <row r="256" spans="2:15" ht="12.75" customHeight="1">
      <c r="B256" s="729"/>
      <c r="C256" s="731" t="s">
        <v>204</v>
      </c>
      <c r="D256" s="107">
        <v>2008</v>
      </c>
      <c r="E256" s="108">
        <v>0</v>
      </c>
      <c r="F256" s="109">
        <v>0</v>
      </c>
      <c r="G256" s="109">
        <v>0</v>
      </c>
      <c r="H256" s="109">
        <v>0</v>
      </c>
      <c r="I256" s="109">
        <v>0</v>
      </c>
      <c r="J256" s="109">
        <v>0</v>
      </c>
      <c r="K256" s="109">
        <v>0</v>
      </c>
      <c r="L256" s="109">
        <v>0</v>
      </c>
      <c r="M256" s="109">
        <v>0</v>
      </c>
      <c r="N256" s="109">
        <v>0</v>
      </c>
      <c r="O256" s="109">
        <v>0</v>
      </c>
    </row>
    <row r="257" spans="2:15" ht="12.75" customHeight="1">
      <c r="B257" s="729"/>
      <c r="C257" s="731" t="s">
        <v>204</v>
      </c>
      <c r="D257" s="107">
        <v>2009</v>
      </c>
      <c r="E257" s="108">
        <v>0</v>
      </c>
      <c r="F257" s="109">
        <v>0</v>
      </c>
      <c r="G257" s="109">
        <v>0</v>
      </c>
      <c r="H257" s="109">
        <v>0</v>
      </c>
      <c r="I257" s="109">
        <v>0</v>
      </c>
      <c r="J257" s="109">
        <v>0</v>
      </c>
      <c r="K257" s="109">
        <v>0</v>
      </c>
      <c r="L257" s="109">
        <v>0</v>
      </c>
      <c r="M257" s="109">
        <v>0</v>
      </c>
      <c r="N257" s="109">
        <v>0</v>
      </c>
      <c r="O257" s="109">
        <v>0</v>
      </c>
    </row>
    <row r="258" spans="2:15" ht="12.75" customHeight="1">
      <c r="B258" s="729"/>
      <c r="C258" s="731" t="s">
        <v>204</v>
      </c>
      <c r="D258" s="107">
        <v>2010</v>
      </c>
      <c r="E258" s="108">
        <v>0</v>
      </c>
      <c r="F258" s="109">
        <v>0</v>
      </c>
      <c r="G258" s="109">
        <v>0</v>
      </c>
      <c r="H258" s="109">
        <v>0</v>
      </c>
      <c r="I258" s="109">
        <v>0</v>
      </c>
      <c r="J258" s="109">
        <v>0</v>
      </c>
      <c r="K258" s="109">
        <v>0</v>
      </c>
      <c r="L258" s="109">
        <v>0</v>
      </c>
      <c r="M258" s="109">
        <v>0</v>
      </c>
      <c r="N258" s="109">
        <v>0</v>
      </c>
      <c r="O258" s="109">
        <v>0</v>
      </c>
    </row>
    <row r="259" spans="2:15" ht="12.75" customHeight="1">
      <c r="B259" s="729"/>
      <c r="C259" s="731" t="s">
        <v>204</v>
      </c>
      <c r="D259" s="107">
        <v>2011</v>
      </c>
      <c r="E259" s="108">
        <v>0</v>
      </c>
      <c r="F259" s="109">
        <v>0</v>
      </c>
      <c r="G259" s="109">
        <v>0</v>
      </c>
      <c r="H259" s="109">
        <v>0</v>
      </c>
      <c r="I259" s="109">
        <v>0</v>
      </c>
      <c r="J259" s="109">
        <v>0</v>
      </c>
      <c r="K259" s="109">
        <v>0</v>
      </c>
      <c r="L259" s="109">
        <v>0</v>
      </c>
      <c r="M259" s="109">
        <v>0</v>
      </c>
      <c r="N259" s="109">
        <v>0</v>
      </c>
      <c r="O259" s="109">
        <v>0</v>
      </c>
    </row>
    <row r="260" spans="2:15" ht="12.75" customHeight="1">
      <c r="B260" s="729"/>
      <c r="C260" s="731" t="s">
        <v>204</v>
      </c>
      <c r="D260" s="107">
        <v>2012</v>
      </c>
      <c r="E260" s="108">
        <v>0</v>
      </c>
      <c r="F260" s="109">
        <v>0</v>
      </c>
      <c r="G260" s="109">
        <v>0</v>
      </c>
      <c r="H260" s="109">
        <v>0</v>
      </c>
      <c r="I260" s="109">
        <v>0</v>
      </c>
      <c r="J260" s="109">
        <v>0</v>
      </c>
      <c r="K260" s="109">
        <v>0</v>
      </c>
      <c r="L260" s="109">
        <v>0</v>
      </c>
      <c r="M260" s="109">
        <v>0</v>
      </c>
      <c r="N260" s="109">
        <v>0</v>
      </c>
      <c r="O260" s="109">
        <v>0</v>
      </c>
    </row>
    <row r="261" spans="2:15" ht="12.75" customHeight="1">
      <c r="B261" s="729"/>
      <c r="C261" s="732" t="s">
        <v>204</v>
      </c>
      <c r="D261" s="115">
        <v>2013</v>
      </c>
      <c r="E261" s="112">
        <v>0</v>
      </c>
      <c r="F261" s="113">
        <v>0</v>
      </c>
      <c r="G261" s="113">
        <v>0</v>
      </c>
      <c r="H261" s="113">
        <v>0</v>
      </c>
      <c r="I261" s="113">
        <v>0</v>
      </c>
      <c r="J261" s="113">
        <v>0</v>
      </c>
      <c r="K261" s="113">
        <v>0</v>
      </c>
      <c r="L261" s="113">
        <v>0</v>
      </c>
      <c r="M261" s="113">
        <v>0</v>
      </c>
      <c r="N261" s="113">
        <v>0</v>
      </c>
      <c r="O261" s="113">
        <v>0</v>
      </c>
    </row>
    <row r="262" spans="2:15">
      <c r="B262" s="729"/>
      <c r="C262" s="728" t="s">
        <v>119</v>
      </c>
      <c r="D262" s="107">
        <v>2006</v>
      </c>
      <c r="E262" s="108">
        <v>0</v>
      </c>
      <c r="F262" s="109">
        <v>0</v>
      </c>
      <c r="G262" s="109">
        <v>154.25080000000003</v>
      </c>
      <c r="H262" s="109">
        <v>94.928399999999996</v>
      </c>
      <c r="I262" s="109">
        <v>747.65499999999986</v>
      </c>
      <c r="J262" s="109">
        <v>2103.1062999999999</v>
      </c>
      <c r="K262" s="109">
        <v>541.38969999999983</v>
      </c>
      <c r="L262" s="109">
        <v>55.701099999999997</v>
      </c>
      <c r="M262" s="109">
        <v>48.49</v>
      </c>
      <c r="N262" s="109">
        <v>0</v>
      </c>
      <c r="O262" s="109">
        <v>3745.5212999999994</v>
      </c>
    </row>
    <row r="263" spans="2:15">
      <c r="B263" s="729"/>
      <c r="C263" s="731"/>
      <c r="D263" s="107">
        <v>2007</v>
      </c>
      <c r="E263" s="108">
        <v>0</v>
      </c>
      <c r="F263" s="109">
        <v>0</v>
      </c>
      <c r="G263" s="109">
        <v>0</v>
      </c>
      <c r="H263" s="109">
        <v>0</v>
      </c>
      <c r="I263" s="109">
        <v>0</v>
      </c>
      <c r="J263" s="109">
        <v>0</v>
      </c>
      <c r="K263" s="109">
        <v>0</v>
      </c>
      <c r="L263" s="109">
        <v>0</v>
      </c>
      <c r="M263" s="109">
        <v>0</v>
      </c>
      <c r="N263" s="109">
        <v>0</v>
      </c>
      <c r="O263" s="109">
        <v>0</v>
      </c>
    </row>
    <row r="264" spans="2:15">
      <c r="B264" s="729"/>
      <c r="C264" s="731"/>
      <c r="D264" s="107">
        <v>2008</v>
      </c>
      <c r="E264" s="108">
        <v>0</v>
      </c>
      <c r="F264" s="109">
        <v>0</v>
      </c>
      <c r="G264" s="109">
        <v>0</v>
      </c>
      <c r="H264" s="109">
        <v>0</v>
      </c>
      <c r="I264" s="109">
        <v>0</v>
      </c>
      <c r="J264" s="109">
        <v>0</v>
      </c>
      <c r="K264" s="109">
        <v>0</v>
      </c>
      <c r="L264" s="109">
        <v>0</v>
      </c>
      <c r="M264" s="109">
        <v>0</v>
      </c>
      <c r="N264" s="109">
        <v>0</v>
      </c>
      <c r="O264" s="109">
        <v>0</v>
      </c>
    </row>
    <row r="265" spans="2:15">
      <c r="B265" s="729"/>
      <c r="C265" s="731"/>
      <c r="D265" s="107">
        <v>2009</v>
      </c>
      <c r="E265" s="108">
        <v>0</v>
      </c>
      <c r="F265" s="109">
        <v>0</v>
      </c>
      <c r="G265" s="109">
        <v>0</v>
      </c>
      <c r="H265" s="109">
        <v>0</v>
      </c>
      <c r="I265" s="109">
        <v>0</v>
      </c>
      <c r="J265" s="109">
        <v>0</v>
      </c>
      <c r="K265" s="109">
        <v>0</v>
      </c>
      <c r="L265" s="109">
        <v>0</v>
      </c>
      <c r="M265" s="109">
        <v>0</v>
      </c>
      <c r="N265" s="109">
        <v>0</v>
      </c>
      <c r="O265" s="109">
        <v>0</v>
      </c>
    </row>
    <row r="266" spans="2:15">
      <c r="B266" s="729"/>
      <c r="C266" s="731"/>
      <c r="D266" s="107">
        <v>2010</v>
      </c>
      <c r="E266" s="108">
        <v>0</v>
      </c>
      <c r="F266" s="109">
        <v>0</v>
      </c>
      <c r="G266" s="109">
        <v>0</v>
      </c>
      <c r="H266" s="109">
        <v>0</v>
      </c>
      <c r="I266" s="109">
        <v>0</v>
      </c>
      <c r="J266" s="109">
        <v>0</v>
      </c>
      <c r="K266" s="109">
        <v>0</v>
      </c>
      <c r="L266" s="109">
        <v>0</v>
      </c>
      <c r="M266" s="109">
        <v>0</v>
      </c>
      <c r="N266" s="109">
        <v>0</v>
      </c>
      <c r="O266" s="109">
        <v>0</v>
      </c>
    </row>
    <row r="267" spans="2:15">
      <c r="B267" s="729"/>
      <c r="C267" s="731"/>
      <c r="D267" s="107">
        <v>2011</v>
      </c>
      <c r="E267" s="108">
        <v>0</v>
      </c>
      <c r="F267" s="109">
        <v>0</v>
      </c>
      <c r="G267" s="109">
        <v>0</v>
      </c>
      <c r="H267" s="109">
        <v>0</v>
      </c>
      <c r="I267" s="109">
        <v>0</v>
      </c>
      <c r="J267" s="109">
        <v>0</v>
      </c>
      <c r="K267" s="109">
        <v>0</v>
      </c>
      <c r="L267" s="109">
        <v>0</v>
      </c>
      <c r="M267" s="109">
        <v>0</v>
      </c>
      <c r="N267" s="109">
        <v>0</v>
      </c>
      <c r="O267" s="109">
        <v>0</v>
      </c>
    </row>
    <row r="268" spans="2:15">
      <c r="B268" s="729"/>
      <c r="C268" s="731"/>
      <c r="D268" s="107">
        <v>2012</v>
      </c>
      <c r="E268" s="108">
        <v>0</v>
      </c>
      <c r="F268" s="109">
        <v>0</v>
      </c>
      <c r="G268" s="109">
        <v>0</v>
      </c>
      <c r="H268" s="109">
        <v>0</v>
      </c>
      <c r="I268" s="109">
        <v>0</v>
      </c>
      <c r="J268" s="109">
        <v>0</v>
      </c>
      <c r="K268" s="109">
        <v>0</v>
      </c>
      <c r="L268" s="109">
        <v>0</v>
      </c>
      <c r="M268" s="109">
        <v>0</v>
      </c>
      <c r="N268" s="109">
        <v>0</v>
      </c>
      <c r="O268" s="109">
        <v>0</v>
      </c>
    </row>
    <row r="269" spans="2:15">
      <c r="B269" s="729"/>
      <c r="C269" s="732"/>
      <c r="D269" s="115">
        <v>2013</v>
      </c>
      <c r="E269" s="112">
        <v>0</v>
      </c>
      <c r="F269" s="113">
        <v>0</v>
      </c>
      <c r="G269" s="113">
        <v>0</v>
      </c>
      <c r="H269" s="113">
        <v>0</v>
      </c>
      <c r="I269" s="113">
        <v>0</v>
      </c>
      <c r="J269" s="113">
        <v>0</v>
      </c>
      <c r="K269" s="113">
        <v>0</v>
      </c>
      <c r="L269" s="113">
        <v>0</v>
      </c>
      <c r="M269" s="113">
        <v>0</v>
      </c>
      <c r="N269" s="113">
        <v>0</v>
      </c>
      <c r="O269" s="113">
        <v>0</v>
      </c>
    </row>
    <row r="270" spans="2:15">
      <c r="B270" s="728" t="s">
        <v>234</v>
      </c>
      <c r="C270" s="728" t="s">
        <v>206</v>
      </c>
      <c r="D270" s="107">
        <v>2006</v>
      </c>
      <c r="E270" s="108">
        <v>965.47850000000074</v>
      </c>
      <c r="F270" s="109">
        <v>6909.5888000000195</v>
      </c>
      <c r="G270" s="109">
        <v>2895.7926999999995</v>
      </c>
      <c r="H270" s="109">
        <v>6969.5472999999984</v>
      </c>
      <c r="I270" s="109">
        <v>1598.7403999999983</v>
      </c>
      <c r="J270" s="109">
        <v>330.673</v>
      </c>
      <c r="K270" s="109">
        <v>0</v>
      </c>
      <c r="L270" s="109">
        <v>0</v>
      </c>
      <c r="M270" s="109">
        <v>0</v>
      </c>
      <c r="N270" s="109">
        <v>0</v>
      </c>
      <c r="O270" s="109">
        <v>19669.820700000004</v>
      </c>
    </row>
    <row r="271" spans="2:15">
      <c r="B271" s="729"/>
      <c r="C271" s="729"/>
      <c r="D271" s="107">
        <v>2007</v>
      </c>
      <c r="E271" s="108">
        <v>956.90529999999978</v>
      </c>
      <c r="F271" s="109">
        <v>7465.5513000000101</v>
      </c>
      <c r="G271" s="109">
        <v>2716.8842000000004</v>
      </c>
      <c r="H271" s="109">
        <v>5301.7285000000065</v>
      </c>
      <c r="I271" s="109">
        <v>1764.1349999999986</v>
      </c>
      <c r="J271" s="109">
        <v>372.36690000000033</v>
      </c>
      <c r="K271" s="109">
        <v>0</v>
      </c>
      <c r="L271" s="109">
        <v>0</v>
      </c>
      <c r="M271" s="109">
        <v>0</v>
      </c>
      <c r="N271" s="109">
        <v>0</v>
      </c>
      <c r="O271" s="109">
        <v>18577.57119999998</v>
      </c>
    </row>
    <row r="272" spans="2:15">
      <c r="B272" s="729"/>
      <c r="C272" s="729"/>
      <c r="D272" s="107">
        <v>2008</v>
      </c>
      <c r="E272" s="108">
        <v>1076.5716</v>
      </c>
      <c r="F272" s="109">
        <v>7577.4285000000282</v>
      </c>
      <c r="G272" s="109">
        <v>2977.4843999999994</v>
      </c>
      <c r="H272" s="109">
        <v>5218.9431000000013</v>
      </c>
      <c r="I272" s="109">
        <v>1779.754599999997</v>
      </c>
      <c r="J272" s="109">
        <v>399.38119999999969</v>
      </c>
      <c r="K272" s="109">
        <v>0</v>
      </c>
      <c r="L272" s="109">
        <v>0</v>
      </c>
      <c r="M272" s="109">
        <v>0</v>
      </c>
      <c r="N272" s="109">
        <v>0</v>
      </c>
      <c r="O272" s="109">
        <v>19029.563400000003</v>
      </c>
    </row>
    <row r="273" spans="2:15">
      <c r="B273" s="729"/>
      <c r="C273" s="729"/>
      <c r="D273" s="107">
        <v>2009</v>
      </c>
      <c r="E273" s="108">
        <v>896.71320000000014</v>
      </c>
      <c r="F273" s="109">
        <v>7794.8820999999998</v>
      </c>
      <c r="G273" s="109">
        <v>4247.3545999999933</v>
      </c>
      <c r="H273" s="109">
        <v>5720.1303999999991</v>
      </c>
      <c r="I273" s="109">
        <v>1993.6224999999999</v>
      </c>
      <c r="J273" s="109">
        <v>543.04739999999993</v>
      </c>
      <c r="K273" s="109">
        <v>25.978400000000001</v>
      </c>
      <c r="L273" s="109">
        <v>0</v>
      </c>
      <c r="M273" s="109">
        <v>0</v>
      </c>
      <c r="N273" s="109">
        <v>0</v>
      </c>
      <c r="O273" s="109">
        <v>21221.728599999973</v>
      </c>
    </row>
    <row r="274" spans="2:15">
      <c r="B274" s="729"/>
      <c r="C274" s="729"/>
      <c r="D274" s="107">
        <v>2010</v>
      </c>
      <c r="E274" s="108">
        <v>905.77029999999854</v>
      </c>
      <c r="F274" s="109">
        <v>7174.8139000000101</v>
      </c>
      <c r="G274" s="109">
        <v>4074.6163000000006</v>
      </c>
      <c r="H274" s="109">
        <v>6632.0866000000051</v>
      </c>
      <c r="I274" s="109">
        <v>2136.6196</v>
      </c>
      <c r="J274" s="109">
        <v>686.77930000000015</v>
      </c>
      <c r="K274" s="109">
        <v>49.687200000000011</v>
      </c>
      <c r="L274" s="109">
        <v>0</v>
      </c>
      <c r="M274" s="109">
        <v>0</v>
      </c>
      <c r="N274" s="109">
        <v>0</v>
      </c>
      <c r="O274" s="109">
        <v>21660.373200000002</v>
      </c>
    </row>
    <row r="275" spans="2:15">
      <c r="B275" s="729"/>
      <c r="C275" s="729"/>
      <c r="D275" s="107">
        <v>2011</v>
      </c>
      <c r="E275" s="108">
        <v>1039.1007999999956</v>
      </c>
      <c r="F275" s="109">
        <v>6795.1427999999951</v>
      </c>
      <c r="G275" s="109">
        <v>3710.4522000000006</v>
      </c>
      <c r="H275" s="109">
        <v>6450.3815999999997</v>
      </c>
      <c r="I275" s="109">
        <v>1419.1649000000002</v>
      </c>
      <c r="J275" s="109">
        <v>970.31429999999978</v>
      </c>
      <c r="K275" s="109">
        <v>34.154000000000003</v>
      </c>
      <c r="L275" s="109">
        <v>0</v>
      </c>
      <c r="M275" s="109">
        <v>0</v>
      </c>
      <c r="N275" s="109">
        <v>0</v>
      </c>
      <c r="O275" s="109">
        <v>20418.710600000002</v>
      </c>
    </row>
    <row r="276" spans="2:15">
      <c r="B276" s="729"/>
      <c r="C276" s="729"/>
      <c r="D276" s="107">
        <v>2012</v>
      </c>
      <c r="E276" s="108">
        <v>1299.8195999999978</v>
      </c>
      <c r="F276" s="109">
        <v>6686.7113000000008</v>
      </c>
      <c r="G276" s="109">
        <v>3528.3076000000069</v>
      </c>
      <c r="H276" s="109">
        <v>6725.8524999999945</v>
      </c>
      <c r="I276" s="109">
        <v>1280.9324000000004</v>
      </c>
      <c r="J276" s="109">
        <v>939.35590000000025</v>
      </c>
      <c r="K276" s="109">
        <v>33.095999999999997</v>
      </c>
      <c r="L276" s="109">
        <v>0</v>
      </c>
      <c r="M276" s="109">
        <v>0</v>
      </c>
      <c r="N276" s="109">
        <v>0</v>
      </c>
      <c r="O276" s="109">
        <v>20494.075299999982</v>
      </c>
    </row>
    <row r="277" spans="2:15">
      <c r="B277" s="729"/>
      <c r="C277" s="734"/>
      <c r="D277" s="115">
        <v>2013</v>
      </c>
      <c r="E277" s="112">
        <v>1645.1666</v>
      </c>
      <c r="F277" s="113">
        <v>5717.1143000000011</v>
      </c>
      <c r="G277" s="113">
        <v>4170.7218000000066</v>
      </c>
      <c r="H277" s="113">
        <v>6447.1727000000064</v>
      </c>
      <c r="I277" s="113">
        <v>1626.4559000000004</v>
      </c>
      <c r="J277" s="113">
        <v>1038.8032000000001</v>
      </c>
      <c r="K277" s="113">
        <v>32.375</v>
      </c>
      <c r="L277" s="113">
        <v>0</v>
      </c>
      <c r="M277" s="113">
        <v>38</v>
      </c>
      <c r="N277" s="113">
        <v>0</v>
      </c>
      <c r="O277" s="113">
        <v>20715.809499999999</v>
      </c>
    </row>
    <row r="278" spans="2:15">
      <c r="B278" s="729"/>
      <c r="C278" s="728" t="s">
        <v>207</v>
      </c>
      <c r="D278" s="107">
        <v>2006</v>
      </c>
      <c r="E278" s="108">
        <v>0</v>
      </c>
      <c r="F278" s="109">
        <v>0</v>
      </c>
      <c r="G278" s="109">
        <v>245.69930000000019</v>
      </c>
      <c r="H278" s="109">
        <v>0</v>
      </c>
      <c r="I278" s="109">
        <v>1111.3226999999999</v>
      </c>
      <c r="J278" s="109">
        <v>210.02400000000003</v>
      </c>
      <c r="K278" s="109">
        <v>0</v>
      </c>
      <c r="L278" s="109">
        <v>35.261000000000003</v>
      </c>
      <c r="M278" s="109">
        <v>167.62490000000003</v>
      </c>
      <c r="N278" s="109">
        <v>0</v>
      </c>
      <c r="O278" s="109">
        <v>1769.9318999999996</v>
      </c>
    </row>
    <row r="279" spans="2:15">
      <c r="B279" s="729"/>
      <c r="C279" s="729"/>
      <c r="D279" s="107">
        <v>2007</v>
      </c>
      <c r="E279" s="108">
        <v>0</v>
      </c>
      <c r="F279" s="109">
        <v>0</v>
      </c>
      <c r="G279" s="109">
        <v>210.03649999999996</v>
      </c>
      <c r="H279" s="109">
        <v>0</v>
      </c>
      <c r="I279" s="109">
        <v>725.55739999999992</v>
      </c>
      <c r="J279" s="109">
        <v>449.07789999999994</v>
      </c>
      <c r="K279" s="109">
        <v>0</v>
      </c>
      <c r="L279" s="109">
        <v>78.113900000000015</v>
      </c>
      <c r="M279" s="109">
        <v>92.86490000000002</v>
      </c>
      <c r="N279" s="109">
        <v>0</v>
      </c>
      <c r="O279" s="109">
        <v>1555.6506000000004</v>
      </c>
    </row>
    <row r="280" spans="2:15">
      <c r="B280" s="729"/>
      <c r="C280" s="729"/>
      <c r="D280" s="107">
        <v>2008</v>
      </c>
      <c r="E280" s="108">
        <v>0</v>
      </c>
      <c r="F280" s="109">
        <v>0</v>
      </c>
      <c r="G280" s="109">
        <v>263.00700000000001</v>
      </c>
      <c r="H280" s="109">
        <v>0</v>
      </c>
      <c r="I280" s="109">
        <v>816.27499999999986</v>
      </c>
      <c r="J280" s="109">
        <v>448.77859999999998</v>
      </c>
      <c r="K280" s="109">
        <v>0</v>
      </c>
      <c r="L280" s="109">
        <v>61.882900000000014</v>
      </c>
      <c r="M280" s="109">
        <v>52.756999999999984</v>
      </c>
      <c r="N280" s="109">
        <v>0</v>
      </c>
      <c r="O280" s="109">
        <v>1642.7004999999997</v>
      </c>
    </row>
    <row r="281" spans="2:15">
      <c r="B281" s="729"/>
      <c r="C281" s="729"/>
      <c r="D281" s="107">
        <v>2009</v>
      </c>
      <c r="E281" s="108">
        <v>0</v>
      </c>
      <c r="F281" s="109">
        <v>0</v>
      </c>
      <c r="G281" s="109">
        <v>274.67489999999998</v>
      </c>
      <c r="H281" s="109">
        <v>0</v>
      </c>
      <c r="I281" s="109">
        <v>773.13149999999985</v>
      </c>
      <c r="J281" s="109">
        <v>369.39370000000002</v>
      </c>
      <c r="K281" s="109">
        <v>0</v>
      </c>
      <c r="L281" s="109">
        <v>59.810099999999998</v>
      </c>
      <c r="M281" s="109">
        <v>43.761200000000002</v>
      </c>
      <c r="N281" s="109">
        <v>0</v>
      </c>
      <c r="O281" s="109">
        <v>1520.7714000000003</v>
      </c>
    </row>
    <row r="282" spans="2:15">
      <c r="B282" s="729"/>
      <c r="C282" s="729"/>
      <c r="D282" s="107">
        <v>2010</v>
      </c>
      <c r="E282" s="108">
        <v>0</v>
      </c>
      <c r="F282" s="109">
        <v>0</v>
      </c>
      <c r="G282" s="109">
        <v>292.42450000000008</v>
      </c>
      <c r="H282" s="109">
        <v>4.4783999999999997</v>
      </c>
      <c r="I282" s="109">
        <v>894.5951</v>
      </c>
      <c r="J282" s="109">
        <v>390.31770000000006</v>
      </c>
      <c r="K282" s="109">
        <v>0</v>
      </c>
      <c r="L282" s="109">
        <v>68.967999999999989</v>
      </c>
      <c r="M282" s="109">
        <v>43.669400000000003</v>
      </c>
      <c r="N282" s="109">
        <v>0</v>
      </c>
      <c r="O282" s="109">
        <v>1694.4531000000004</v>
      </c>
    </row>
    <row r="283" spans="2:15">
      <c r="B283" s="729"/>
      <c r="C283" s="729"/>
      <c r="D283" s="107">
        <v>2011</v>
      </c>
      <c r="E283" s="108">
        <v>0</v>
      </c>
      <c r="F283" s="109">
        <v>0</v>
      </c>
      <c r="G283" s="109">
        <v>297.98259999999982</v>
      </c>
      <c r="H283" s="109">
        <v>25.839399999999994</v>
      </c>
      <c r="I283" s="109">
        <v>708.2337</v>
      </c>
      <c r="J283" s="109">
        <v>346.02500000000009</v>
      </c>
      <c r="K283" s="109">
        <v>0</v>
      </c>
      <c r="L283" s="109">
        <v>59.975299999999997</v>
      </c>
      <c r="M283" s="109">
        <v>24.641199999999994</v>
      </c>
      <c r="N283" s="109">
        <v>0</v>
      </c>
      <c r="O283" s="109">
        <v>1462.6972000000003</v>
      </c>
    </row>
    <row r="284" spans="2:15">
      <c r="B284" s="729"/>
      <c r="C284" s="729"/>
      <c r="D284" s="107">
        <v>2012</v>
      </c>
      <c r="E284" s="108">
        <v>0</v>
      </c>
      <c r="F284" s="109">
        <v>0</v>
      </c>
      <c r="G284" s="109">
        <v>319.31629999999973</v>
      </c>
      <c r="H284" s="109">
        <v>36.602700000000006</v>
      </c>
      <c r="I284" s="109">
        <v>484.10879999999997</v>
      </c>
      <c r="J284" s="109">
        <v>351.83440000000002</v>
      </c>
      <c r="K284" s="109">
        <v>0</v>
      </c>
      <c r="L284" s="109">
        <v>65.655899999999988</v>
      </c>
      <c r="M284" s="109">
        <v>75.257699999999986</v>
      </c>
      <c r="N284" s="109">
        <v>0</v>
      </c>
      <c r="O284" s="109">
        <v>1332.7758000000013</v>
      </c>
    </row>
    <row r="285" spans="2:15">
      <c r="B285" s="729"/>
      <c r="C285" s="734"/>
      <c r="D285" s="115">
        <v>2013</v>
      </c>
      <c r="E285" s="112">
        <v>0</v>
      </c>
      <c r="F285" s="113">
        <v>0</v>
      </c>
      <c r="G285" s="113">
        <v>193.21070000000003</v>
      </c>
      <c r="H285" s="113">
        <v>131.65200000000004</v>
      </c>
      <c r="I285" s="113">
        <v>568.92969999999991</v>
      </c>
      <c r="J285" s="113">
        <v>291.15390000000002</v>
      </c>
      <c r="K285" s="113">
        <v>0</v>
      </c>
      <c r="L285" s="113">
        <v>46.743200000000002</v>
      </c>
      <c r="M285" s="113">
        <v>95.619700000000023</v>
      </c>
      <c r="N285" s="113">
        <v>0</v>
      </c>
      <c r="O285" s="113">
        <v>1327.3091999999997</v>
      </c>
    </row>
    <row r="286" spans="2:15">
      <c r="B286" s="729"/>
      <c r="C286" s="728" t="s">
        <v>208</v>
      </c>
      <c r="D286" s="107">
        <v>2006</v>
      </c>
      <c r="E286" s="108">
        <v>18.200000000000003</v>
      </c>
      <c r="F286" s="109">
        <v>638.68339999999966</v>
      </c>
      <c r="G286" s="109">
        <v>192.36940000000004</v>
      </c>
      <c r="H286" s="109">
        <v>824.39019999999937</v>
      </c>
      <c r="I286" s="109">
        <v>40.155199999999994</v>
      </c>
      <c r="J286" s="109">
        <v>280.38630000000006</v>
      </c>
      <c r="K286" s="109">
        <v>0</v>
      </c>
      <c r="L286" s="109">
        <v>0</v>
      </c>
      <c r="M286" s="109">
        <v>45.269100000000002</v>
      </c>
      <c r="N286" s="109">
        <v>0.76900000000000002</v>
      </c>
      <c r="O286" s="109">
        <v>2040.2226000000035</v>
      </c>
    </row>
    <row r="287" spans="2:15">
      <c r="B287" s="729"/>
      <c r="C287" s="729"/>
      <c r="D287" s="107">
        <v>2007</v>
      </c>
      <c r="E287" s="108">
        <v>8.5</v>
      </c>
      <c r="F287" s="109">
        <v>343.14709999999968</v>
      </c>
      <c r="G287" s="109">
        <v>106.66930000000002</v>
      </c>
      <c r="H287" s="109">
        <v>1166.3866000000007</v>
      </c>
      <c r="I287" s="109">
        <v>54.818100000000001</v>
      </c>
      <c r="J287" s="109">
        <v>248.31570000000008</v>
      </c>
      <c r="K287" s="109">
        <v>0</v>
      </c>
      <c r="L287" s="109">
        <v>0</v>
      </c>
      <c r="M287" s="109">
        <v>32.707999999999998</v>
      </c>
      <c r="N287" s="109">
        <v>1.7689999999999999</v>
      </c>
      <c r="O287" s="109">
        <v>1962.3138000000026</v>
      </c>
    </row>
    <row r="288" spans="2:15">
      <c r="B288" s="729"/>
      <c r="C288" s="729"/>
      <c r="D288" s="107">
        <v>2008</v>
      </c>
      <c r="E288" s="108">
        <v>13</v>
      </c>
      <c r="F288" s="109">
        <v>317.28059999999959</v>
      </c>
      <c r="G288" s="109">
        <v>104.49980000000002</v>
      </c>
      <c r="H288" s="109">
        <v>1056.1274999999998</v>
      </c>
      <c r="I288" s="109">
        <v>165.43769999999998</v>
      </c>
      <c r="J288" s="109">
        <v>207.2587</v>
      </c>
      <c r="K288" s="109">
        <v>0</v>
      </c>
      <c r="L288" s="109">
        <v>0</v>
      </c>
      <c r="M288" s="109">
        <v>33.740499999999997</v>
      </c>
      <c r="N288" s="109">
        <v>7.9993999999999996</v>
      </c>
      <c r="O288" s="109">
        <v>1905.3442000000002</v>
      </c>
    </row>
    <row r="289" spans="2:15">
      <c r="B289" s="729"/>
      <c r="C289" s="729"/>
      <c r="D289" s="107">
        <v>2009</v>
      </c>
      <c r="E289" s="108">
        <v>8.2501000000000051</v>
      </c>
      <c r="F289" s="109">
        <v>268.13179999999977</v>
      </c>
      <c r="G289" s="109">
        <v>205.68009999999998</v>
      </c>
      <c r="H289" s="109">
        <v>1160.1118000000004</v>
      </c>
      <c r="I289" s="109">
        <v>369.59419999999994</v>
      </c>
      <c r="J289" s="109">
        <v>318.06190000000004</v>
      </c>
      <c r="K289" s="109">
        <v>0</v>
      </c>
      <c r="L289" s="109">
        <v>0</v>
      </c>
      <c r="M289" s="109">
        <v>49.244500000000009</v>
      </c>
      <c r="N289" s="109">
        <v>11.401599999999998</v>
      </c>
      <c r="O289" s="109">
        <v>2390.4760000000019</v>
      </c>
    </row>
    <row r="290" spans="2:15">
      <c r="B290" s="729"/>
      <c r="C290" s="729"/>
      <c r="D290" s="107">
        <v>2010</v>
      </c>
      <c r="E290" s="108">
        <v>22.005499999999998</v>
      </c>
      <c r="F290" s="109">
        <v>59.018700000000003</v>
      </c>
      <c r="G290" s="109">
        <v>500.80229999999966</v>
      </c>
      <c r="H290" s="109">
        <v>975.59110000000021</v>
      </c>
      <c r="I290" s="109">
        <v>91.102800000000002</v>
      </c>
      <c r="J290" s="109">
        <v>739.15880000000016</v>
      </c>
      <c r="K290" s="109">
        <v>0</v>
      </c>
      <c r="L290" s="109">
        <v>0</v>
      </c>
      <c r="M290" s="109">
        <v>66.770499999999998</v>
      </c>
      <c r="N290" s="109">
        <v>28.5</v>
      </c>
      <c r="O290" s="109">
        <v>2482.9496999999992</v>
      </c>
    </row>
    <row r="291" spans="2:15">
      <c r="B291" s="729"/>
      <c r="C291" s="729"/>
      <c r="D291" s="107">
        <v>2011</v>
      </c>
      <c r="E291" s="108">
        <v>67.005500000000012</v>
      </c>
      <c r="F291" s="109">
        <v>18.6447</v>
      </c>
      <c r="G291" s="109">
        <v>488.50450000000012</v>
      </c>
      <c r="H291" s="109">
        <v>1001.3374000000007</v>
      </c>
      <c r="I291" s="109">
        <v>30.907599999999999</v>
      </c>
      <c r="J291" s="109">
        <v>1056.5299999999991</v>
      </c>
      <c r="K291" s="109">
        <v>0</v>
      </c>
      <c r="L291" s="109">
        <v>0</v>
      </c>
      <c r="M291" s="109">
        <v>83.55</v>
      </c>
      <c r="N291" s="109">
        <v>41.17</v>
      </c>
      <c r="O291" s="109">
        <v>2787.6496999999968</v>
      </c>
    </row>
    <row r="292" spans="2:15">
      <c r="B292" s="729"/>
      <c r="C292" s="729"/>
      <c r="D292" s="107">
        <v>2012</v>
      </c>
      <c r="E292" s="108">
        <v>79.005499999999998</v>
      </c>
      <c r="F292" s="109">
        <v>6.1274999999999986</v>
      </c>
      <c r="G292" s="109">
        <v>559.95800000000042</v>
      </c>
      <c r="H292" s="109">
        <v>1031.8651000000013</v>
      </c>
      <c r="I292" s="109">
        <v>0</v>
      </c>
      <c r="J292" s="109">
        <v>1109.1826000000001</v>
      </c>
      <c r="K292" s="109">
        <v>0</v>
      </c>
      <c r="L292" s="109">
        <v>0</v>
      </c>
      <c r="M292" s="109">
        <v>78</v>
      </c>
      <c r="N292" s="109">
        <v>41.999799999999993</v>
      </c>
      <c r="O292" s="109">
        <v>2906.1384999999982</v>
      </c>
    </row>
    <row r="293" spans="2:15">
      <c r="B293" s="729"/>
      <c r="C293" s="734"/>
      <c r="D293" s="115">
        <v>2013</v>
      </c>
      <c r="E293" s="112">
        <v>48.137999999999998</v>
      </c>
      <c r="F293" s="113">
        <v>5.6280000000000001</v>
      </c>
      <c r="G293" s="113">
        <v>503.0476000000001</v>
      </c>
      <c r="H293" s="113">
        <v>1064.1928000000007</v>
      </c>
      <c r="I293" s="113">
        <v>63.410800000000016</v>
      </c>
      <c r="J293" s="113">
        <v>1185.7141999999999</v>
      </c>
      <c r="K293" s="113">
        <v>0</v>
      </c>
      <c r="L293" s="113">
        <v>0</v>
      </c>
      <c r="M293" s="113">
        <v>92.25</v>
      </c>
      <c r="N293" s="113">
        <v>52</v>
      </c>
      <c r="O293" s="113">
        <v>3014.3814000000007</v>
      </c>
    </row>
    <row r="294" spans="2:15">
      <c r="B294" s="729"/>
      <c r="C294" s="728" t="s">
        <v>119</v>
      </c>
      <c r="D294" s="107">
        <v>2006</v>
      </c>
      <c r="E294" s="108">
        <v>983.67849999999999</v>
      </c>
      <c r="F294" s="109">
        <v>7548.2722000000385</v>
      </c>
      <c r="G294" s="109">
        <v>3333.8613999999993</v>
      </c>
      <c r="H294" s="109">
        <v>7793.9374999999809</v>
      </c>
      <c r="I294" s="109">
        <v>2750.2183</v>
      </c>
      <c r="J294" s="109">
        <v>821.08329999999989</v>
      </c>
      <c r="K294" s="109">
        <v>0</v>
      </c>
      <c r="L294" s="109">
        <v>35.260999999999996</v>
      </c>
      <c r="M294" s="109">
        <v>212.89400000000001</v>
      </c>
      <c r="N294" s="109">
        <v>0.76900000000000002</v>
      </c>
      <c r="O294" s="109">
        <v>23479.975200000044</v>
      </c>
    </row>
    <row r="295" spans="2:15">
      <c r="B295" s="729"/>
      <c r="C295" s="729"/>
      <c r="D295" s="107">
        <v>2007</v>
      </c>
      <c r="E295" s="108">
        <v>965.40530000000001</v>
      </c>
      <c r="F295" s="109">
        <v>7808.6984000000193</v>
      </c>
      <c r="G295" s="109">
        <v>3033.5900000000024</v>
      </c>
      <c r="H295" s="109">
        <v>6468.1151000000009</v>
      </c>
      <c r="I295" s="109">
        <v>2544.5104999999985</v>
      </c>
      <c r="J295" s="109">
        <v>1069.7605000000001</v>
      </c>
      <c r="K295" s="109">
        <v>0</v>
      </c>
      <c r="L295" s="109">
        <v>78.113900000000015</v>
      </c>
      <c r="M295" s="109">
        <v>125.5729</v>
      </c>
      <c r="N295" s="109">
        <v>1.7689999999999999</v>
      </c>
      <c r="O295" s="109">
        <v>22095.535600000017</v>
      </c>
    </row>
    <row r="296" spans="2:15">
      <c r="B296" s="729"/>
      <c r="C296" s="729"/>
      <c r="D296" s="107">
        <v>2008</v>
      </c>
      <c r="E296" s="108">
        <v>1089.5716000000002</v>
      </c>
      <c r="F296" s="109">
        <v>7894.709100000031</v>
      </c>
      <c r="G296" s="109">
        <v>3344.9911999999995</v>
      </c>
      <c r="H296" s="109">
        <v>6275.0706</v>
      </c>
      <c r="I296" s="109">
        <v>2761.4672999999957</v>
      </c>
      <c r="J296" s="109">
        <v>1055.4184999999986</v>
      </c>
      <c r="K296" s="109">
        <v>0</v>
      </c>
      <c r="L296" s="109">
        <v>61.882899999999999</v>
      </c>
      <c r="M296" s="109">
        <v>86.497500000000002</v>
      </c>
      <c r="N296" s="109">
        <v>7.9993999999999996</v>
      </c>
      <c r="O296" s="109">
        <v>22577.608100000038</v>
      </c>
    </row>
    <row r="297" spans="2:15">
      <c r="B297" s="729"/>
      <c r="C297" s="729"/>
      <c r="D297" s="107">
        <v>2009</v>
      </c>
      <c r="E297" s="108">
        <v>904.9633</v>
      </c>
      <c r="F297" s="109">
        <v>8063.0139000000008</v>
      </c>
      <c r="G297" s="109">
        <v>4727.709599999991</v>
      </c>
      <c r="H297" s="109">
        <v>6880.2421999999988</v>
      </c>
      <c r="I297" s="109">
        <v>3136.3482000000008</v>
      </c>
      <c r="J297" s="109">
        <v>1230.5030000000008</v>
      </c>
      <c r="K297" s="109">
        <v>25.978400000000001</v>
      </c>
      <c r="L297" s="109">
        <v>59.810100000000013</v>
      </c>
      <c r="M297" s="109">
        <v>93.005700000000004</v>
      </c>
      <c r="N297" s="109">
        <v>11.4016</v>
      </c>
      <c r="O297" s="109">
        <v>25132.976000000006</v>
      </c>
    </row>
    <row r="298" spans="2:15">
      <c r="B298" s="729"/>
      <c r="C298" s="729"/>
      <c r="D298" s="107">
        <v>2010</v>
      </c>
      <c r="E298" s="108">
        <v>927.77579999999864</v>
      </c>
      <c r="F298" s="109">
        <v>7233.8326000000116</v>
      </c>
      <c r="G298" s="109">
        <v>4867.8431000000028</v>
      </c>
      <c r="H298" s="109">
        <v>7612.1560999999983</v>
      </c>
      <c r="I298" s="109">
        <v>3122.3175000000001</v>
      </c>
      <c r="J298" s="109">
        <v>1816.2558000000004</v>
      </c>
      <c r="K298" s="109">
        <v>49.687199999999997</v>
      </c>
      <c r="L298" s="109">
        <v>68.968000000000018</v>
      </c>
      <c r="M298" s="109">
        <v>110.43990000000002</v>
      </c>
      <c r="N298" s="109">
        <v>28.5</v>
      </c>
      <c r="O298" s="109">
        <v>25837.776000000002</v>
      </c>
    </row>
    <row r="299" spans="2:15">
      <c r="B299" s="729"/>
      <c r="C299" s="729"/>
      <c r="D299" s="107">
        <v>2011</v>
      </c>
      <c r="E299" s="108">
        <v>1106.1062999999956</v>
      </c>
      <c r="F299" s="109">
        <v>6813.787499999994</v>
      </c>
      <c r="G299" s="109">
        <v>4496.9392999999991</v>
      </c>
      <c r="H299" s="109">
        <v>7477.5583999999926</v>
      </c>
      <c r="I299" s="109">
        <v>2158.3062000000004</v>
      </c>
      <c r="J299" s="109">
        <v>2372.8692999999967</v>
      </c>
      <c r="K299" s="109">
        <v>34.154000000000003</v>
      </c>
      <c r="L299" s="109">
        <v>59.97529999999999</v>
      </c>
      <c r="M299" s="109">
        <v>108.19119999999999</v>
      </c>
      <c r="N299" s="109">
        <v>41.17</v>
      </c>
      <c r="O299" s="109">
        <v>24669.057500000046</v>
      </c>
    </row>
    <row r="300" spans="2:15">
      <c r="B300" s="729"/>
      <c r="C300" s="729"/>
      <c r="D300" s="107">
        <v>2012</v>
      </c>
      <c r="E300" s="108">
        <v>1378.8250999999977</v>
      </c>
      <c r="F300" s="109">
        <v>6692.8387999999986</v>
      </c>
      <c r="G300" s="109">
        <v>4407.5819000000074</v>
      </c>
      <c r="H300" s="109">
        <v>7794.3203000000012</v>
      </c>
      <c r="I300" s="109">
        <v>1765.0411999999997</v>
      </c>
      <c r="J300" s="109">
        <v>2400.3728999999994</v>
      </c>
      <c r="K300" s="109">
        <v>33.095999999999997</v>
      </c>
      <c r="L300" s="109">
        <v>65.655899999999988</v>
      </c>
      <c r="M300" s="109">
        <v>153.2577</v>
      </c>
      <c r="N300" s="109">
        <v>41.999799999999993</v>
      </c>
      <c r="O300" s="109">
        <v>24732.989600000008</v>
      </c>
    </row>
    <row r="301" spans="2:15">
      <c r="B301" s="729"/>
      <c r="C301" s="734"/>
      <c r="D301" s="115">
        <v>2013</v>
      </c>
      <c r="E301" s="112">
        <v>1693.3045999999999</v>
      </c>
      <c r="F301" s="113">
        <v>5722.7423000000017</v>
      </c>
      <c r="G301" s="113">
        <v>4866.9801000000089</v>
      </c>
      <c r="H301" s="113">
        <v>7643.0175000000008</v>
      </c>
      <c r="I301" s="113">
        <v>2258.7964000000002</v>
      </c>
      <c r="J301" s="113">
        <v>2515.6712999999995</v>
      </c>
      <c r="K301" s="113">
        <v>32.375</v>
      </c>
      <c r="L301" s="113">
        <v>46.743200000000002</v>
      </c>
      <c r="M301" s="113">
        <v>225.86970000000002</v>
      </c>
      <c r="N301" s="113">
        <v>52</v>
      </c>
      <c r="O301" s="113">
        <v>25057.500100000005</v>
      </c>
    </row>
    <row r="302" spans="2:15">
      <c r="B302" s="728" t="s">
        <v>209</v>
      </c>
      <c r="C302" s="728" t="s">
        <v>119</v>
      </c>
      <c r="D302" s="107">
        <v>2006</v>
      </c>
      <c r="E302" s="108">
        <v>4582.3606999999993</v>
      </c>
      <c r="F302" s="109">
        <v>18991.893600000123</v>
      </c>
      <c r="G302" s="109">
        <v>16672.620899999947</v>
      </c>
      <c r="H302" s="109">
        <v>25900.802899999955</v>
      </c>
      <c r="I302" s="109">
        <v>24960.968199999941</v>
      </c>
      <c r="J302" s="109">
        <v>104473.41420000025</v>
      </c>
      <c r="K302" s="109">
        <v>5553.0571999999984</v>
      </c>
      <c r="L302" s="109">
        <v>13032.074800000004</v>
      </c>
      <c r="M302" s="109">
        <v>6782.3091999999997</v>
      </c>
      <c r="N302" s="109">
        <v>4405.5573000000004</v>
      </c>
      <c r="O302" s="109">
        <v>225355.05900000097</v>
      </c>
    </row>
    <row r="303" spans="2:15">
      <c r="B303" s="729"/>
      <c r="C303" s="729"/>
      <c r="D303" s="107">
        <v>2007</v>
      </c>
      <c r="E303" s="108">
        <v>3792.7858000000037</v>
      </c>
      <c r="F303" s="109">
        <v>19815.126699999983</v>
      </c>
      <c r="G303" s="109">
        <v>16779.689500000011</v>
      </c>
      <c r="H303" s="109">
        <v>25203.90459999994</v>
      </c>
      <c r="I303" s="109">
        <v>23938.204999999918</v>
      </c>
      <c r="J303" s="109">
        <v>104235.15569999961</v>
      </c>
      <c r="K303" s="109">
        <v>5758.2842999999984</v>
      </c>
      <c r="L303" s="109">
        <v>13550.595500000003</v>
      </c>
      <c r="M303" s="109">
        <v>6634.2168999999985</v>
      </c>
      <c r="N303" s="109">
        <v>5051.4331999999986</v>
      </c>
      <c r="O303" s="109">
        <v>224759.39720000123</v>
      </c>
    </row>
    <row r="304" spans="2:15">
      <c r="B304" s="729"/>
      <c r="C304" s="729"/>
      <c r="D304" s="107">
        <v>2008</v>
      </c>
      <c r="E304" s="108">
        <v>2651.8605999999954</v>
      </c>
      <c r="F304" s="109">
        <v>18582.302100000004</v>
      </c>
      <c r="G304" s="109">
        <v>16960.074199999981</v>
      </c>
      <c r="H304" s="109">
        <v>24519.86369999994</v>
      </c>
      <c r="I304" s="109">
        <v>23112.311299999918</v>
      </c>
      <c r="J304" s="109">
        <v>103659.50179999994</v>
      </c>
      <c r="K304" s="109">
        <v>5764.7299000000012</v>
      </c>
      <c r="L304" s="109">
        <v>13862.27590000001</v>
      </c>
      <c r="M304" s="109">
        <v>6677.0758999999989</v>
      </c>
      <c r="N304" s="109">
        <v>5427.0621000000001</v>
      </c>
      <c r="O304" s="109">
        <v>221217.05750000113</v>
      </c>
    </row>
    <row r="305" spans="2:19">
      <c r="B305" s="729"/>
      <c r="C305" s="729"/>
      <c r="D305" s="107">
        <v>2009</v>
      </c>
      <c r="E305" s="108">
        <v>2461.1376999999966</v>
      </c>
      <c r="F305" s="109">
        <v>18659.382700000002</v>
      </c>
      <c r="G305" s="109">
        <v>19124.779199999964</v>
      </c>
      <c r="H305" s="109">
        <v>26870.064799999938</v>
      </c>
      <c r="I305" s="109">
        <v>24858.074199999923</v>
      </c>
      <c r="J305" s="109">
        <v>108678.20739999952</v>
      </c>
      <c r="K305" s="109">
        <v>6711.5640999999996</v>
      </c>
      <c r="L305" s="109">
        <v>16270.317700000016</v>
      </c>
      <c r="M305" s="109">
        <v>7116.4689000000017</v>
      </c>
      <c r="N305" s="109">
        <v>5995.6998999999996</v>
      </c>
      <c r="O305" s="109">
        <v>236745.69660000195</v>
      </c>
    </row>
    <row r="306" spans="2:19">
      <c r="B306" s="729"/>
      <c r="C306" s="729"/>
      <c r="D306" s="107">
        <v>2010</v>
      </c>
      <c r="E306" s="108">
        <v>2598.8755999999985</v>
      </c>
      <c r="F306" s="109">
        <v>17052.227699999999</v>
      </c>
      <c r="G306" s="109">
        <v>19545.420200000004</v>
      </c>
      <c r="H306" s="109">
        <v>26395.442599999973</v>
      </c>
      <c r="I306" s="109">
        <v>25205.989299999903</v>
      </c>
      <c r="J306" s="109">
        <v>113710.80999999998</v>
      </c>
      <c r="K306" s="109">
        <v>6874.1842000000015</v>
      </c>
      <c r="L306" s="109">
        <v>17322.764100000019</v>
      </c>
      <c r="M306" s="109">
        <v>7578.5050999999985</v>
      </c>
      <c r="N306" s="109">
        <v>6235.070099999999</v>
      </c>
      <c r="O306" s="109">
        <v>242519.28890000033</v>
      </c>
    </row>
    <row r="307" spans="2:19">
      <c r="B307" s="729"/>
      <c r="C307" s="729"/>
      <c r="D307" s="107">
        <v>2011</v>
      </c>
      <c r="E307" s="108">
        <v>2814.1392999999957</v>
      </c>
      <c r="F307" s="109">
        <v>16348.815199999986</v>
      </c>
      <c r="G307" s="109">
        <v>17705.380500000003</v>
      </c>
      <c r="H307" s="109">
        <v>24479.727799999968</v>
      </c>
      <c r="I307" s="109">
        <v>22718.743899999925</v>
      </c>
      <c r="J307" s="109">
        <v>114863.13110000016</v>
      </c>
      <c r="K307" s="109">
        <v>6156.1915000000035</v>
      </c>
      <c r="L307" s="109">
        <v>16584.716900000014</v>
      </c>
      <c r="M307" s="109">
        <v>7666.8600999999999</v>
      </c>
      <c r="N307" s="109">
        <v>6470.0166000000008</v>
      </c>
      <c r="O307" s="109">
        <v>235807.72290000159</v>
      </c>
    </row>
    <row r="308" spans="2:19">
      <c r="B308" s="729"/>
      <c r="C308" s="729"/>
      <c r="D308" s="107">
        <v>2012</v>
      </c>
      <c r="E308" s="108">
        <v>3219.4758000000006</v>
      </c>
      <c r="F308" s="109">
        <v>15963.631499999998</v>
      </c>
      <c r="G308" s="109">
        <v>18569.777900000001</v>
      </c>
      <c r="H308" s="109">
        <v>25536.804399999994</v>
      </c>
      <c r="I308" s="109">
        <v>21273.74599999993</v>
      </c>
      <c r="J308" s="109">
        <v>117200.14659999964</v>
      </c>
      <c r="K308" s="109">
        <v>6036.449000000006</v>
      </c>
      <c r="L308" s="109">
        <v>16344.978900000016</v>
      </c>
      <c r="M308" s="109">
        <v>8069.8365999999996</v>
      </c>
      <c r="N308" s="109">
        <v>6557.2725000000009</v>
      </c>
      <c r="O308" s="109">
        <v>238772.11920000153</v>
      </c>
    </row>
    <row r="309" spans="2:19">
      <c r="B309" s="734"/>
      <c r="C309" s="734"/>
      <c r="D309" s="115">
        <v>2013</v>
      </c>
      <c r="E309" s="112">
        <v>3296.8283999999994</v>
      </c>
      <c r="F309" s="113">
        <v>13190.191099999996</v>
      </c>
      <c r="G309" s="113">
        <v>19281.208699999988</v>
      </c>
      <c r="H309" s="113">
        <v>24745.253299999986</v>
      </c>
      <c r="I309" s="113">
        <v>19783.910699999964</v>
      </c>
      <c r="J309" s="113">
        <v>116066.10090000041</v>
      </c>
      <c r="K309" s="113">
        <v>5777.737900000001</v>
      </c>
      <c r="L309" s="113">
        <v>16922.48810000001</v>
      </c>
      <c r="M309" s="113">
        <v>8308.8523999999979</v>
      </c>
      <c r="N309" s="113">
        <v>6667.7694999999985</v>
      </c>
      <c r="O309" s="113">
        <v>234040.34100000121</v>
      </c>
    </row>
    <row r="310" spans="2:19" ht="13.5" customHeight="1">
      <c r="B310" s="728" t="s">
        <v>235</v>
      </c>
      <c r="C310" s="728" t="s">
        <v>119</v>
      </c>
      <c r="D310" s="107">
        <v>2006</v>
      </c>
      <c r="E310" s="108">
        <v>1374.7954</v>
      </c>
      <c r="F310" s="109">
        <v>5370.8949000000011</v>
      </c>
      <c r="G310" s="109">
        <v>13541.053099999997</v>
      </c>
      <c r="H310" s="109">
        <v>7341.1930000000011</v>
      </c>
      <c r="I310" s="109">
        <v>12271.697100000009</v>
      </c>
      <c r="J310" s="109">
        <v>1255.394</v>
      </c>
      <c r="K310" s="109">
        <v>380.62309999999991</v>
      </c>
      <c r="L310" s="109">
        <v>242.28429999999983</v>
      </c>
      <c r="M310" s="109">
        <v>225.2912</v>
      </c>
      <c r="N310" s="109">
        <v>0</v>
      </c>
      <c r="O310" s="109">
        <v>42003.226100000029</v>
      </c>
      <c r="P310" s="109"/>
      <c r="Q310" s="109"/>
      <c r="R310" s="109"/>
      <c r="S310" s="109"/>
    </row>
    <row r="311" spans="2:19">
      <c r="B311" s="729"/>
      <c r="C311" s="729"/>
      <c r="D311" s="107">
        <v>2007</v>
      </c>
      <c r="E311" s="108">
        <v>971.13480000000027</v>
      </c>
      <c r="F311" s="109">
        <v>3800.4096</v>
      </c>
      <c r="G311" s="109">
        <v>13113.894100000003</v>
      </c>
      <c r="H311" s="109">
        <v>8238.7589000000007</v>
      </c>
      <c r="I311" s="109">
        <v>12434.212200000004</v>
      </c>
      <c r="J311" s="109">
        <v>1401.5577000000003</v>
      </c>
      <c r="K311" s="109">
        <v>374.77829999999994</v>
      </c>
      <c r="L311" s="109">
        <v>269.02679999999992</v>
      </c>
      <c r="M311" s="109">
        <v>233.09800000000007</v>
      </c>
      <c r="N311" s="109">
        <v>0</v>
      </c>
      <c r="O311" s="109">
        <v>40836.8704</v>
      </c>
    </row>
    <row r="312" spans="2:19">
      <c r="B312" s="729"/>
      <c r="C312" s="729"/>
      <c r="D312" s="107">
        <v>2008</v>
      </c>
      <c r="E312" s="108">
        <v>727.39400000000012</v>
      </c>
      <c r="F312" s="109">
        <v>3408.1871999999994</v>
      </c>
      <c r="G312" s="109">
        <v>13314.367200000002</v>
      </c>
      <c r="H312" s="109">
        <v>7958.5292999999947</v>
      </c>
      <c r="I312" s="109">
        <v>13158.449299999997</v>
      </c>
      <c r="J312" s="109">
        <v>1586.2645</v>
      </c>
      <c r="K312" s="109">
        <v>480.80709999999971</v>
      </c>
      <c r="L312" s="109">
        <v>239.3057</v>
      </c>
      <c r="M312" s="109">
        <v>245.08489999999995</v>
      </c>
      <c r="N312" s="109">
        <v>0</v>
      </c>
      <c r="O312" s="109">
        <v>41118.389200000027</v>
      </c>
    </row>
    <row r="313" spans="2:19">
      <c r="B313" s="729"/>
      <c r="C313" s="729"/>
      <c r="D313" s="107">
        <v>2009</v>
      </c>
      <c r="E313" s="108">
        <v>699.48169999999982</v>
      </c>
      <c r="F313" s="109">
        <v>3347.3640999999993</v>
      </c>
      <c r="G313" s="109">
        <v>12717.562300000003</v>
      </c>
      <c r="H313" s="109">
        <v>8602.2329999999984</v>
      </c>
      <c r="I313" s="109">
        <v>14835.73800000001</v>
      </c>
      <c r="J313" s="109">
        <v>2114.0935999999997</v>
      </c>
      <c r="K313" s="109">
        <v>652.06419999999991</v>
      </c>
      <c r="L313" s="109">
        <v>354.30369999999999</v>
      </c>
      <c r="M313" s="109">
        <v>234.92920000000001</v>
      </c>
      <c r="N313" s="109">
        <v>0</v>
      </c>
      <c r="O313" s="109">
        <v>43557.769800000009</v>
      </c>
    </row>
    <row r="314" spans="2:19">
      <c r="B314" s="729"/>
      <c r="C314" s="729"/>
      <c r="D314" s="107">
        <v>2010</v>
      </c>
      <c r="E314" s="108">
        <v>1272.3968999999997</v>
      </c>
      <c r="F314" s="109">
        <v>3171.8250999999996</v>
      </c>
      <c r="G314" s="109">
        <v>11587.000200000004</v>
      </c>
      <c r="H314" s="109">
        <v>7744.0272000000004</v>
      </c>
      <c r="I314" s="109">
        <v>15006.759800000003</v>
      </c>
      <c r="J314" s="109">
        <v>2497.7482</v>
      </c>
      <c r="K314" s="109">
        <v>784.2401000000001</v>
      </c>
      <c r="L314" s="109">
        <v>368.18609999999995</v>
      </c>
      <c r="M314" s="109">
        <v>197.57000000000002</v>
      </c>
      <c r="N314" s="109">
        <v>0</v>
      </c>
      <c r="O314" s="109">
        <v>42629.753599999996</v>
      </c>
    </row>
    <row r="315" spans="2:19">
      <c r="B315" s="729"/>
      <c r="C315" s="729"/>
      <c r="D315" s="107">
        <v>2011</v>
      </c>
      <c r="E315" s="108">
        <v>1272.0554000000004</v>
      </c>
      <c r="F315" s="109">
        <v>3402.1125000000006</v>
      </c>
      <c r="G315" s="109">
        <v>10518.944000000001</v>
      </c>
      <c r="H315" s="109">
        <v>7494.2358999999988</v>
      </c>
      <c r="I315" s="109">
        <v>15141.801499999996</v>
      </c>
      <c r="J315" s="109">
        <v>2990.7234000000008</v>
      </c>
      <c r="K315" s="109">
        <v>720.66750000000059</v>
      </c>
      <c r="L315" s="109">
        <v>401.27620000000007</v>
      </c>
      <c r="M315" s="109">
        <v>219.1044</v>
      </c>
      <c r="N315" s="109">
        <v>0</v>
      </c>
      <c r="O315" s="109">
        <v>42160.9208</v>
      </c>
    </row>
    <row r="316" spans="2:19">
      <c r="B316" s="729"/>
      <c r="C316" s="729"/>
      <c r="D316" s="107">
        <v>2012</v>
      </c>
      <c r="E316" s="108">
        <v>796.82710000000009</v>
      </c>
      <c r="F316" s="109">
        <v>2818.9350000000009</v>
      </c>
      <c r="G316" s="109">
        <v>9722.8287000000073</v>
      </c>
      <c r="H316" s="109">
        <v>6421.0049999999947</v>
      </c>
      <c r="I316" s="109">
        <v>15122.079599999999</v>
      </c>
      <c r="J316" s="109">
        <v>3614.3755000000006</v>
      </c>
      <c r="K316" s="109">
        <v>713.88429999999983</v>
      </c>
      <c r="L316" s="109">
        <v>439.08110000000005</v>
      </c>
      <c r="M316" s="109">
        <v>213.62350000000004</v>
      </c>
      <c r="N316" s="109">
        <v>0</v>
      </c>
      <c r="O316" s="109">
        <v>39862.639800000063</v>
      </c>
    </row>
    <row r="317" spans="2:19">
      <c r="B317" s="734"/>
      <c r="C317" s="734"/>
      <c r="D317" s="115">
        <v>2013</v>
      </c>
      <c r="E317" s="112">
        <v>2564.2358000000008</v>
      </c>
      <c r="F317" s="113">
        <v>6636.0334999999986</v>
      </c>
      <c r="G317" s="113">
        <v>9399.970400000002</v>
      </c>
      <c r="H317" s="113">
        <v>6312.7668999999987</v>
      </c>
      <c r="I317" s="113">
        <v>14189.121699999991</v>
      </c>
      <c r="J317" s="113">
        <v>3577.8649</v>
      </c>
      <c r="K317" s="113">
        <v>852.06670000000008</v>
      </c>
      <c r="L317" s="113">
        <v>326.63029999999998</v>
      </c>
      <c r="M317" s="113">
        <v>259.11219999999992</v>
      </c>
      <c r="N317" s="113">
        <v>0</v>
      </c>
      <c r="O317" s="113">
        <v>44117.802399999993</v>
      </c>
    </row>
    <row r="318" spans="2:19">
      <c r="B318" s="735" t="s">
        <v>119</v>
      </c>
      <c r="C318" s="728" t="s">
        <v>119</v>
      </c>
      <c r="D318" s="107">
        <v>2006</v>
      </c>
      <c r="E318" s="108">
        <v>5957.1561000000111</v>
      </c>
      <c r="F318" s="109">
        <v>24362.788500000199</v>
      </c>
      <c r="G318" s="109">
        <v>30213.673999999963</v>
      </c>
      <c r="H318" s="109">
        <v>33241.995899999965</v>
      </c>
      <c r="I318" s="109">
        <v>37232.665299999964</v>
      </c>
      <c r="J318" s="109">
        <v>105728.80819999994</v>
      </c>
      <c r="K318" s="109">
        <v>5933.6802999999991</v>
      </c>
      <c r="L318" s="109">
        <v>13274.359100000003</v>
      </c>
      <c r="M318" s="109">
        <v>7007.6003999999984</v>
      </c>
      <c r="N318" s="109">
        <v>4405.5573000000004</v>
      </c>
      <c r="O318" s="109">
        <v>267358.28510000033</v>
      </c>
      <c r="P318" s="114"/>
      <c r="Q318" s="114"/>
      <c r="R318" s="114"/>
      <c r="S318" s="114"/>
    </row>
    <row r="319" spans="2:19">
      <c r="B319" s="736"/>
      <c r="C319" s="729"/>
      <c r="D319" s="107">
        <v>2007</v>
      </c>
      <c r="E319" s="108">
        <v>4763.9206000000067</v>
      </c>
      <c r="F319" s="109">
        <v>23615.536299999956</v>
      </c>
      <c r="G319" s="109">
        <v>29893.583599999994</v>
      </c>
      <c r="H319" s="109">
        <v>33442.663499999901</v>
      </c>
      <c r="I319" s="109">
        <v>36372.417199999938</v>
      </c>
      <c r="J319" s="109">
        <v>105636.71340000028</v>
      </c>
      <c r="K319" s="109">
        <v>6133.0626000000002</v>
      </c>
      <c r="L319" s="109">
        <v>13819.622300000014</v>
      </c>
      <c r="M319" s="109">
        <v>6867.3148999999985</v>
      </c>
      <c r="N319" s="109">
        <v>5051.4331999999986</v>
      </c>
      <c r="O319" s="109">
        <v>265596.26760000153</v>
      </c>
    </row>
    <row r="320" spans="2:19">
      <c r="B320" s="736"/>
      <c r="C320" s="729"/>
      <c r="D320" s="107">
        <v>2008</v>
      </c>
      <c r="E320" s="108">
        <v>3379.2545999999948</v>
      </c>
      <c r="F320" s="109">
        <v>21990.489299999976</v>
      </c>
      <c r="G320" s="109">
        <v>30274.441400000007</v>
      </c>
      <c r="H320" s="109">
        <v>32478.392999999847</v>
      </c>
      <c r="I320" s="109">
        <v>36270.760599999929</v>
      </c>
      <c r="J320" s="109">
        <v>105245.76629999971</v>
      </c>
      <c r="K320" s="109">
        <v>6245.5370000000012</v>
      </c>
      <c r="L320" s="109">
        <v>14101.581600000023</v>
      </c>
      <c r="M320" s="109">
        <v>6922.1607999999951</v>
      </c>
      <c r="N320" s="109">
        <v>5427.062100000001</v>
      </c>
      <c r="O320" s="109">
        <v>262335.4467000016</v>
      </c>
    </row>
    <row r="321" spans="1:25">
      <c r="B321" s="736"/>
      <c r="C321" s="729"/>
      <c r="D321" s="107">
        <v>2009</v>
      </c>
      <c r="E321" s="108">
        <v>3160.6193999999959</v>
      </c>
      <c r="F321" s="109">
        <v>22006.746799999997</v>
      </c>
      <c r="G321" s="109">
        <v>31842.341499999948</v>
      </c>
      <c r="H321" s="109">
        <v>35472.297799999942</v>
      </c>
      <c r="I321" s="109">
        <v>39693.812199999971</v>
      </c>
      <c r="J321" s="109">
        <v>110792.30099999961</v>
      </c>
      <c r="K321" s="109">
        <v>7363.6283000000012</v>
      </c>
      <c r="L321" s="109">
        <v>16624.621400000015</v>
      </c>
      <c r="M321" s="109">
        <v>7351.3981000000003</v>
      </c>
      <c r="N321" s="109">
        <v>5995.6998999999996</v>
      </c>
      <c r="O321" s="109">
        <v>280303.46640000085</v>
      </c>
    </row>
    <row r="322" spans="1:25">
      <c r="B322" s="736"/>
      <c r="C322" s="729"/>
      <c r="D322" s="107">
        <v>2010</v>
      </c>
      <c r="E322" s="108">
        <v>3871.2724999999996</v>
      </c>
      <c r="F322" s="109">
        <v>20224.052799999987</v>
      </c>
      <c r="G322" s="109">
        <v>31132.420400000006</v>
      </c>
      <c r="H322" s="109">
        <v>34139.469799999977</v>
      </c>
      <c r="I322" s="109">
        <v>40212.749099999928</v>
      </c>
      <c r="J322" s="109">
        <v>116208.5581999998</v>
      </c>
      <c r="K322" s="109">
        <v>7658.424300000006</v>
      </c>
      <c r="L322" s="109">
        <v>17690.950200000018</v>
      </c>
      <c r="M322" s="109">
        <v>7776.0751</v>
      </c>
      <c r="N322" s="109">
        <v>6235.0700999999945</v>
      </c>
      <c r="O322" s="109">
        <v>285149.04250000045</v>
      </c>
    </row>
    <row r="323" spans="1:25">
      <c r="B323" s="736"/>
      <c r="C323" s="729"/>
      <c r="D323" s="107">
        <v>2011</v>
      </c>
      <c r="E323" s="108">
        <v>4086.1946999999964</v>
      </c>
      <c r="F323" s="109">
        <v>19750.927699999986</v>
      </c>
      <c r="G323" s="109">
        <v>28224.324499999995</v>
      </c>
      <c r="H323" s="109">
        <v>31973.96369999996</v>
      </c>
      <c r="I323" s="109">
        <v>37860.545399999944</v>
      </c>
      <c r="J323" s="109">
        <v>117853.85450000021</v>
      </c>
      <c r="K323" s="109">
        <v>6876.8590000000013</v>
      </c>
      <c r="L323" s="109">
        <v>16985.993100000011</v>
      </c>
      <c r="M323" s="109">
        <v>7885.9645</v>
      </c>
      <c r="N323" s="109">
        <v>6470.0166000000008</v>
      </c>
      <c r="O323" s="109">
        <v>277968.64370000234</v>
      </c>
    </row>
    <row r="324" spans="1:25">
      <c r="B324" s="736"/>
      <c r="C324" s="729"/>
      <c r="D324" s="107">
        <v>2012</v>
      </c>
      <c r="E324" s="108">
        <v>4016.3028999999992</v>
      </c>
      <c r="F324" s="109">
        <v>18782.566499999986</v>
      </c>
      <c r="G324" s="109">
        <v>28292.606599999981</v>
      </c>
      <c r="H324" s="109">
        <v>31957.80939999998</v>
      </c>
      <c r="I324" s="109">
        <v>36395.825599999975</v>
      </c>
      <c r="J324" s="109">
        <v>120814.52210000009</v>
      </c>
      <c r="K324" s="109">
        <v>6750.3333000000066</v>
      </c>
      <c r="L324" s="109">
        <v>16784.060000000027</v>
      </c>
      <c r="M324" s="109">
        <v>8283.4601000000002</v>
      </c>
      <c r="N324" s="109">
        <v>6557.2724999999991</v>
      </c>
      <c r="O324" s="109">
        <v>278634.75900000287</v>
      </c>
    </row>
    <row r="325" spans="1:25">
      <c r="B325" s="737"/>
      <c r="C325" s="734"/>
      <c r="D325" s="115">
        <v>2013</v>
      </c>
      <c r="E325" s="112">
        <v>5861.0642000000016</v>
      </c>
      <c r="F325" s="113">
        <v>19826.224599999969</v>
      </c>
      <c r="G325" s="113">
        <v>28681.179099999943</v>
      </c>
      <c r="H325" s="113">
        <v>31058.020199999981</v>
      </c>
      <c r="I325" s="113">
        <v>33973.032399999975</v>
      </c>
      <c r="J325" s="113">
        <v>119643.96580000038</v>
      </c>
      <c r="K325" s="113">
        <v>6629.8046000000049</v>
      </c>
      <c r="L325" s="113">
        <v>17249.118400000025</v>
      </c>
      <c r="M325" s="113">
        <v>8567.9645999999939</v>
      </c>
      <c r="N325" s="113">
        <v>6667.7695000000012</v>
      </c>
      <c r="O325" s="113">
        <v>278158.14340000221</v>
      </c>
    </row>
    <row r="326" spans="1:25">
      <c r="B326" s="116"/>
      <c r="C326" s="110"/>
      <c r="D326" s="107"/>
      <c r="E326" s="109"/>
      <c r="F326" s="109"/>
      <c r="G326" s="109"/>
      <c r="H326" s="109"/>
      <c r="I326" s="109"/>
      <c r="J326" s="109"/>
      <c r="K326" s="109"/>
      <c r="L326" s="109"/>
      <c r="M326" s="109"/>
      <c r="N326" s="109"/>
      <c r="O326" s="109"/>
    </row>
    <row r="327" spans="1:25" s="119" customFormat="1">
      <c r="A327" s="117"/>
      <c r="B327" s="93" t="s">
        <v>127</v>
      </c>
      <c r="C327" s="105"/>
      <c r="D327" s="105"/>
      <c r="E327" s="118"/>
      <c r="F327" s="118"/>
      <c r="G327" s="118"/>
      <c r="H327" s="118"/>
      <c r="I327" s="118"/>
      <c r="J327" s="118"/>
      <c r="N327" s="105"/>
      <c r="O327" s="105"/>
      <c r="P327" s="105"/>
      <c r="Q327" s="105"/>
      <c r="R327" s="105"/>
      <c r="S327" s="105"/>
      <c r="T327" s="105"/>
      <c r="U327" s="105"/>
      <c r="V327" s="105"/>
      <c r="W327" s="105"/>
      <c r="X327" s="105"/>
      <c r="Y327" s="105"/>
    </row>
    <row r="328" spans="1:25" s="117" customFormat="1">
      <c r="A328" s="117">
        <v>1</v>
      </c>
      <c r="B328" s="93" t="s">
        <v>211</v>
      </c>
    </row>
    <row r="329" spans="1:25">
      <c r="A329" s="117">
        <v>2</v>
      </c>
      <c r="B329" s="93" t="s">
        <v>212</v>
      </c>
      <c r="E329" s="114"/>
      <c r="F329" s="114"/>
      <c r="G329" s="114"/>
      <c r="H329" s="114"/>
      <c r="I329" s="114"/>
      <c r="J329" s="114"/>
      <c r="K329" s="120"/>
      <c r="L329" s="120"/>
    </row>
    <row r="330" spans="1:25">
      <c r="A330" s="117">
        <v>3</v>
      </c>
      <c r="B330" s="93" t="s">
        <v>129</v>
      </c>
      <c r="E330" s="114"/>
      <c r="F330" s="114"/>
      <c r="G330" s="114"/>
      <c r="H330" s="114"/>
      <c r="I330" s="114"/>
      <c r="J330" s="114"/>
    </row>
    <row r="331" spans="1:25">
      <c r="A331" s="117">
        <v>4</v>
      </c>
      <c r="B331" s="93" t="s">
        <v>213</v>
      </c>
      <c r="E331" s="114"/>
      <c r="F331" s="114"/>
      <c r="G331" s="114"/>
      <c r="H331" s="114"/>
      <c r="I331" s="114"/>
      <c r="J331" s="114"/>
    </row>
    <row r="332" spans="1:25" s="117" customFormat="1">
      <c r="A332" s="117">
        <v>5</v>
      </c>
      <c r="B332" s="93" t="s">
        <v>214</v>
      </c>
    </row>
    <row r="333" spans="1:25">
      <c r="A333" s="117">
        <v>6</v>
      </c>
      <c r="B333" s="93" t="s">
        <v>215</v>
      </c>
      <c r="E333" s="114"/>
      <c r="F333" s="114"/>
      <c r="G333" s="114"/>
      <c r="H333" s="114"/>
      <c r="I333" s="114"/>
      <c r="J333" s="114"/>
    </row>
    <row r="334" spans="1:25">
      <c r="A334" s="117">
        <v>7</v>
      </c>
      <c r="B334" s="93" t="s">
        <v>216</v>
      </c>
      <c r="E334" s="114"/>
      <c r="F334" s="114"/>
      <c r="G334" s="114"/>
      <c r="H334" s="114"/>
      <c r="I334" s="114"/>
      <c r="J334" s="114"/>
    </row>
    <row r="335" spans="1:25">
      <c r="A335" s="117">
        <v>8</v>
      </c>
      <c r="B335" s="93" t="s">
        <v>217</v>
      </c>
      <c r="E335" s="114"/>
      <c r="F335" s="114"/>
      <c r="G335" s="114"/>
      <c r="H335" s="114"/>
      <c r="I335" s="114"/>
      <c r="J335" s="114"/>
    </row>
    <row r="336" spans="1:25">
      <c r="A336" s="117">
        <v>9</v>
      </c>
      <c r="B336" s="93" t="s">
        <v>218</v>
      </c>
      <c r="E336" s="114"/>
      <c r="F336" s="114"/>
      <c r="G336" s="114"/>
      <c r="H336" s="114"/>
      <c r="I336" s="114"/>
      <c r="J336" s="114"/>
    </row>
    <row r="337" spans="1:10">
      <c r="A337" s="117">
        <v>10</v>
      </c>
      <c r="B337" s="93" t="s">
        <v>219</v>
      </c>
      <c r="E337" s="114"/>
      <c r="F337" s="114"/>
      <c r="G337" s="114"/>
      <c r="H337" s="114"/>
      <c r="I337" s="114"/>
      <c r="J337" s="114"/>
    </row>
    <row r="338" spans="1:10">
      <c r="A338" s="117">
        <v>11</v>
      </c>
      <c r="B338" s="93" t="s">
        <v>130</v>
      </c>
      <c r="E338" s="114"/>
      <c r="F338" s="114"/>
      <c r="G338" s="114"/>
      <c r="H338" s="114"/>
      <c r="I338" s="114"/>
      <c r="J338" s="114"/>
    </row>
    <row r="339" spans="1:10" s="117" customFormat="1">
      <c r="A339" s="117">
        <v>12</v>
      </c>
      <c r="B339" s="105" t="s">
        <v>236</v>
      </c>
    </row>
    <row r="340" spans="1:10">
      <c r="A340" s="117">
        <v>13</v>
      </c>
      <c r="B340" s="93" t="s">
        <v>221</v>
      </c>
    </row>
    <row r="341" spans="1:10" s="122" customFormat="1">
      <c r="A341" s="121">
        <v>14</v>
      </c>
      <c r="B341" s="58" t="s">
        <v>222</v>
      </c>
    </row>
    <row r="342" spans="1:10">
      <c r="B342" s="93"/>
    </row>
  </sheetData>
  <mergeCells count="51">
    <mergeCell ref="B318:B325"/>
    <mergeCell ref="C318:C325"/>
    <mergeCell ref="B270:B301"/>
    <mergeCell ref="C270:C277"/>
    <mergeCell ref="C278:C285"/>
    <mergeCell ref="C286:C293"/>
    <mergeCell ref="C294:C301"/>
    <mergeCell ref="B302:B309"/>
    <mergeCell ref="B246:B269"/>
    <mergeCell ref="C246:C253"/>
    <mergeCell ref="C254:C261"/>
    <mergeCell ref="C262:C269"/>
    <mergeCell ref="B310:B317"/>
    <mergeCell ref="C310:C317"/>
    <mergeCell ref="C198:C205"/>
    <mergeCell ref="C206:C213"/>
    <mergeCell ref="C302:C309"/>
    <mergeCell ref="C214:C221"/>
    <mergeCell ref="C222:C229"/>
    <mergeCell ref="C230:C237"/>
    <mergeCell ref="C238:C245"/>
    <mergeCell ref="B78:B245"/>
    <mergeCell ref="C78:C85"/>
    <mergeCell ref="C86:C93"/>
    <mergeCell ref="C94:C101"/>
    <mergeCell ref="C102:C109"/>
    <mergeCell ref="C110:C117"/>
    <mergeCell ref="C118:C125"/>
    <mergeCell ref="C126:C133"/>
    <mergeCell ref="C134:C141"/>
    <mergeCell ref="C142:C149"/>
    <mergeCell ref="C150:C157"/>
    <mergeCell ref="C158:C165"/>
    <mergeCell ref="C166:C173"/>
    <mergeCell ref="C174:C181"/>
    <mergeCell ref="C182:C189"/>
    <mergeCell ref="C190:C197"/>
    <mergeCell ref="B4:B5"/>
    <mergeCell ref="C4:C5"/>
    <mergeCell ref="D4:D5"/>
    <mergeCell ref="E5:N5"/>
    <mergeCell ref="B6:B77"/>
    <mergeCell ref="C6:C13"/>
    <mergeCell ref="C14:C21"/>
    <mergeCell ref="C22:C29"/>
    <mergeCell ref="C30:C37"/>
    <mergeCell ref="C38:C45"/>
    <mergeCell ref="C46:C53"/>
    <mergeCell ref="C54:C61"/>
    <mergeCell ref="C62:C69"/>
    <mergeCell ref="C70:C77"/>
  </mergeCells>
  <hyperlinks>
    <hyperlink ref="B1" location="Index!A1" display="&lt; Back to Index &gt;" xr:uid="{00000000-0004-0000-0500-000000000000}"/>
    <hyperlink ref="C1" location="'Ave weight 1996-2013'!A1" display="Ave weight 1996-2013" xr:uid="{00000000-0004-0000-0500-000001000000}"/>
  </hyperlinks>
  <pageMargins left="0.75" right="0.75" top="0.5" bottom="0.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7"/>
  <sheetViews>
    <sheetView workbookViewId="0">
      <pane xSplit="1" ySplit="3" topLeftCell="B4" activePane="bottomRight" state="frozen"/>
      <selection pane="topRight" activeCell="B1" sqref="B1"/>
      <selection pane="bottomLeft" activeCell="A4" sqref="A4"/>
      <selection pane="bottomRight" activeCell="O1" sqref="O1"/>
    </sheetView>
  </sheetViews>
  <sheetFormatPr defaultColWidth="9.140625" defaultRowHeight="11.1" customHeight="1"/>
  <cols>
    <col min="1" max="1" width="31.42578125" style="155" bestFit="1" customWidth="1"/>
    <col min="2" max="2" width="9.7109375" style="155" customWidth="1"/>
    <col min="3" max="3" width="12.140625" style="155" customWidth="1"/>
    <col min="4" max="4" width="11.140625" style="155" customWidth="1"/>
    <col min="5" max="5" width="8.28515625" style="155" customWidth="1"/>
    <col min="6" max="6" width="10.85546875" style="155" customWidth="1"/>
    <col min="7" max="7" width="9.28515625" style="155" customWidth="1"/>
    <col min="8" max="8" width="8.85546875" style="155" customWidth="1"/>
    <col min="9" max="9" width="8.85546875" style="155" bestFit="1" customWidth="1"/>
    <col min="10" max="11" width="9.42578125" style="155" customWidth="1"/>
    <col min="12" max="12" width="8.140625" style="155" customWidth="1"/>
    <col min="13" max="13" width="8.7109375" style="155" customWidth="1"/>
    <col min="14" max="16384" width="9.140625" style="155"/>
  </cols>
  <sheetData>
    <row r="1" spans="1:15" ht="11.1" customHeight="1">
      <c r="A1" s="408" t="s">
        <v>286</v>
      </c>
      <c r="B1" s="523" t="s">
        <v>304</v>
      </c>
      <c r="C1" s="409"/>
      <c r="D1" s="409"/>
      <c r="E1" s="409"/>
      <c r="F1" s="409"/>
      <c r="G1" s="409"/>
      <c r="H1" s="409"/>
      <c r="I1" s="409"/>
      <c r="J1" s="409"/>
      <c r="K1" s="409"/>
      <c r="L1" s="409"/>
      <c r="M1" s="409"/>
      <c r="N1" s="409"/>
      <c r="O1" s="523" t="s">
        <v>304</v>
      </c>
    </row>
    <row r="2" spans="1:15" s="156" customFormat="1" ht="11.25" customHeight="1">
      <c r="A2" s="410" t="s">
        <v>268</v>
      </c>
      <c r="B2" s="411"/>
      <c r="C2" s="412"/>
      <c r="D2" s="412"/>
      <c r="E2" s="413" t="s">
        <v>264</v>
      </c>
      <c r="F2" s="412"/>
      <c r="G2" s="414"/>
      <c r="H2" s="412"/>
      <c r="I2" s="410" t="s">
        <v>264</v>
      </c>
      <c r="J2" s="410"/>
      <c r="K2" s="410"/>
      <c r="L2" s="410"/>
      <c r="M2" s="410"/>
      <c r="N2" s="410"/>
      <c r="O2" s="410"/>
    </row>
    <row r="3" spans="1:15" s="433" customFormat="1" ht="33.75">
      <c r="A3" s="432"/>
      <c r="B3" s="451" t="s">
        <v>287</v>
      </c>
      <c r="C3" s="451" t="s">
        <v>288</v>
      </c>
      <c r="D3" s="451" t="s">
        <v>289</v>
      </c>
      <c r="E3" s="451" t="s">
        <v>5</v>
      </c>
      <c r="F3" s="451" t="s">
        <v>290</v>
      </c>
      <c r="G3" s="451" t="s">
        <v>291</v>
      </c>
      <c r="H3" s="451" t="s">
        <v>292</v>
      </c>
      <c r="I3" s="452" t="s">
        <v>251</v>
      </c>
      <c r="J3" s="447" t="s">
        <v>86</v>
      </c>
      <c r="K3" s="447" t="s">
        <v>87</v>
      </c>
      <c r="L3" s="447" t="s">
        <v>88</v>
      </c>
      <c r="M3" s="447" t="s">
        <v>89</v>
      </c>
      <c r="N3" s="447" t="s">
        <v>90</v>
      </c>
      <c r="O3" s="453" t="s">
        <v>294</v>
      </c>
    </row>
    <row r="4" spans="1:15" ht="11.25" customHeight="1">
      <c r="A4" s="409" t="s">
        <v>62</v>
      </c>
      <c r="B4" s="409">
        <v>84</v>
      </c>
      <c r="C4" s="409">
        <v>734</v>
      </c>
      <c r="D4" s="409">
        <v>1237</v>
      </c>
      <c r="E4" s="409">
        <v>6295</v>
      </c>
      <c r="F4" s="409">
        <v>257</v>
      </c>
      <c r="G4" s="409">
        <v>0</v>
      </c>
      <c r="H4" s="409">
        <v>31</v>
      </c>
      <c r="I4" s="415">
        <v>8638</v>
      </c>
      <c r="J4" s="409">
        <f>B4</f>
        <v>84</v>
      </c>
      <c r="K4" s="409">
        <f>C4+D4</f>
        <v>1971</v>
      </c>
      <c r="L4" s="409">
        <f>SUM(E4:H4)</f>
        <v>6583</v>
      </c>
      <c r="M4" s="409">
        <f>(10*J4)+(3*K4)+L4</f>
        <v>13336</v>
      </c>
      <c r="N4" s="388">
        <f>M4/$M$43</f>
        <v>1.1780304736767253E-2</v>
      </c>
      <c r="O4" s="409">
        <f>I4-SUM(J4:L4)</f>
        <v>0</v>
      </c>
    </row>
    <row r="5" spans="1:15" ht="11.25" customHeight="1">
      <c r="A5" s="409" t="s">
        <v>84</v>
      </c>
      <c r="B5" s="409">
        <v>1197</v>
      </c>
      <c r="C5" s="409">
        <v>430</v>
      </c>
      <c r="D5" s="409">
        <v>711</v>
      </c>
      <c r="E5" s="409">
        <v>7322</v>
      </c>
      <c r="F5" s="409">
        <v>98</v>
      </c>
      <c r="G5" s="409">
        <v>22</v>
      </c>
      <c r="H5" s="409">
        <v>145</v>
      </c>
      <c r="I5" s="415">
        <v>9925</v>
      </c>
      <c r="J5" s="409">
        <f t="shared" ref="J5:J42" si="0">B5</f>
        <v>1197</v>
      </c>
      <c r="K5" s="409">
        <f t="shared" ref="K5:K16" si="1">C5+D5</f>
        <v>1141</v>
      </c>
      <c r="L5" s="409">
        <f t="shared" ref="L5:L42" si="2">SUM(E5:H5)</f>
        <v>7587</v>
      </c>
      <c r="M5" s="409">
        <f t="shared" ref="M5:M42" si="3">(10*J5)+(3*K5)+L5</f>
        <v>22980</v>
      </c>
      <c r="N5" s="388">
        <f t="shared" ref="N5:N42" si="4">M5/$M$43</f>
        <v>2.029929535474741E-2</v>
      </c>
      <c r="O5" s="409">
        <f t="shared" ref="O5:O43" si="5">I5-SUM(J5:L5)</f>
        <v>0</v>
      </c>
    </row>
    <row r="6" spans="1:15" ht="11.25" customHeight="1">
      <c r="A6" s="416" t="s">
        <v>35</v>
      </c>
      <c r="B6" s="409"/>
      <c r="C6" s="409"/>
      <c r="D6" s="409"/>
      <c r="E6" s="409"/>
      <c r="F6" s="409"/>
      <c r="G6" s="409"/>
      <c r="H6" s="409"/>
      <c r="I6" s="415"/>
      <c r="J6" s="409"/>
      <c r="K6" s="409"/>
      <c r="L6" s="409"/>
      <c r="M6" s="409"/>
      <c r="N6" s="388"/>
      <c r="O6" s="409"/>
    </row>
    <row r="7" spans="1:15" ht="11.25" customHeight="1">
      <c r="A7" s="409" t="s">
        <v>36</v>
      </c>
      <c r="B7" s="409">
        <v>163</v>
      </c>
      <c r="C7" s="409">
        <v>697</v>
      </c>
      <c r="D7" s="409">
        <v>956</v>
      </c>
      <c r="E7" s="409">
        <v>7225</v>
      </c>
      <c r="F7" s="409">
        <v>690</v>
      </c>
      <c r="G7" s="409">
        <v>284</v>
      </c>
      <c r="H7" s="409">
        <v>65</v>
      </c>
      <c r="I7" s="415">
        <v>10080</v>
      </c>
      <c r="J7" s="409">
        <f t="shared" si="0"/>
        <v>163</v>
      </c>
      <c r="K7" s="409">
        <f t="shared" si="1"/>
        <v>1653</v>
      </c>
      <c r="L7" s="409">
        <f t="shared" si="2"/>
        <v>8264</v>
      </c>
      <c r="M7" s="409">
        <f t="shared" si="3"/>
        <v>14853</v>
      </c>
      <c r="N7" s="388">
        <f t="shared" si="4"/>
        <v>1.312034090096011E-2</v>
      </c>
      <c r="O7" s="409">
        <f t="shared" si="5"/>
        <v>0</v>
      </c>
    </row>
    <row r="8" spans="1:15" ht="11.25" customHeight="1">
      <c r="A8" s="416" t="s">
        <v>267</v>
      </c>
      <c r="B8" s="409">
        <v>234</v>
      </c>
      <c r="C8" s="409">
        <v>225</v>
      </c>
      <c r="D8" s="409">
        <v>287</v>
      </c>
      <c r="E8" s="409">
        <v>2869</v>
      </c>
      <c r="F8" s="409">
        <v>494</v>
      </c>
      <c r="G8" s="409">
        <v>64</v>
      </c>
      <c r="H8" s="409">
        <v>9</v>
      </c>
      <c r="I8" s="415">
        <v>4182</v>
      </c>
      <c r="J8" s="409">
        <f t="shared" si="0"/>
        <v>234</v>
      </c>
      <c r="K8" s="409">
        <f t="shared" si="1"/>
        <v>512</v>
      </c>
      <c r="L8" s="409">
        <f t="shared" si="2"/>
        <v>3436</v>
      </c>
      <c r="M8" s="409">
        <f t="shared" si="3"/>
        <v>7312</v>
      </c>
      <c r="N8" s="388">
        <f t="shared" si="4"/>
        <v>6.4590273121807257E-3</v>
      </c>
      <c r="O8" s="409">
        <f t="shared" si="5"/>
        <v>0</v>
      </c>
    </row>
    <row r="9" spans="1:15" ht="11.25" customHeight="1">
      <c r="A9" s="409" t="s">
        <v>14</v>
      </c>
      <c r="B9" s="409">
        <v>197</v>
      </c>
      <c r="C9" s="409">
        <v>1613</v>
      </c>
      <c r="D9" s="409">
        <v>1941</v>
      </c>
      <c r="E9" s="409">
        <v>14004</v>
      </c>
      <c r="F9" s="409">
        <v>1608</v>
      </c>
      <c r="G9" s="409">
        <v>17</v>
      </c>
      <c r="H9" s="409">
        <v>743</v>
      </c>
      <c r="I9" s="415">
        <v>20123</v>
      </c>
      <c r="J9" s="409">
        <f t="shared" si="0"/>
        <v>197</v>
      </c>
      <c r="K9" s="409">
        <f t="shared" si="1"/>
        <v>3554</v>
      </c>
      <c r="L9" s="409">
        <f t="shared" si="2"/>
        <v>16372</v>
      </c>
      <c r="M9" s="409">
        <f t="shared" si="3"/>
        <v>29004</v>
      </c>
      <c r="N9" s="388">
        <f t="shared" si="4"/>
        <v>2.5620572779333939E-2</v>
      </c>
      <c r="O9" s="409">
        <f t="shared" si="5"/>
        <v>0</v>
      </c>
    </row>
    <row r="10" spans="1:15" ht="11.25" customHeight="1">
      <c r="A10" s="409" t="s">
        <v>44</v>
      </c>
      <c r="B10" s="409">
        <v>852</v>
      </c>
      <c r="C10" s="409">
        <v>1006</v>
      </c>
      <c r="D10" s="409">
        <v>2263</v>
      </c>
      <c r="E10" s="409">
        <v>16597</v>
      </c>
      <c r="F10" s="409">
        <v>405</v>
      </c>
      <c r="G10" s="409">
        <v>102</v>
      </c>
      <c r="H10" s="409">
        <v>15</v>
      </c>
      <c r="I10" s="415">
        <v>21240</v>
      </c>
      <c r="J10" s="409">
        <f t="shared" si="0"/>
        <v>852</v>
      </c>
      <c r="K10" s="409">
        <f t="shared" si="1"/>
        <v>3269</v>
      </c>
      <c r="L10" s="409">
        <f t="shared" si="2"/>
        <v>17119</v>
      </c>
      <c r="M10" s="409">
        <f t="shared" si="3"/>
        <v>35446</v>
      </c>
      <c r="N10" s="388">
        <f t="shared" si="4"/>
        <v>3.1311088909676967E-2</v>
      </c>
      <c r="O10" s="409">
        <f t="shared" si="5"/>
        <v>0</v>
      </c>
    </row>
    <row r="11" spans="1:15" ht="11.25" customHeight="1">
      <c r="A11" s="409" t="s">
        <v>63</v>
      </c>
      <c r="B11" s="409">
        <v>612</v>
      </c>
      <c r="C11" s="409">
        <v>1467</v>
      </c>
      <c r="D11" s="409">
        <v>3968</v>
      </c>
      <c r="E11" s="409">
        <v>20163</v>
      </c>
      <c r="F11" s="409">
        <v>1708</v>
      </c>
      <c r="G11" s="409">
        <v>0</v>
      </c>
      <c r="H11" s="409">
        <v>314</v>
      </c>
      <c r="I11" s="415">
        <v>28232</v>
      </c>
      <c r="J11" s="409">
        <f t="shared" si="0"/>
        <v>612</v>
      </c>
      <c r="K11" s="409">
        <f t="shared" si="1"/>
        <v>5435</v>
      </c>
      <c r="L11" s="409">
        <f t="shared" si="2"/>
        <v>22185</v>
      </c>
      <c r="M11" s="409">
        <f t="shared" si="3"/>
        <v>44610</v>
      </c>
      <c r="N11" s="388">
        <f t="shared" si="4"/>
        <v>3.9406073358367363E-2</v>
      </c>
      <c r="O11" s="409">
        <f t="shared" si="5"/>
        <v>0</v>
      </c>
    </row>
    <row r="12" spans="1:15" ht="11.25" customHeight="1">
      <c r="A12" s="409" t="s">
        <v>45</v>
      </c>
      <c r="B12" s="409">
        <v>515</v>
      </c>
      <c r="C12" s="409">
        <v>632</v>
      </c>
      <c r="D12" s="409">
        <v>1615</v>
      </c>
      <c r="E12" s="409">
        <v>14704</v>
      </c>
      <c r="F12" s="409">
        <v>658</v>
      </c>
      <c r="G12" s="409">
        <v>334</v>
      </c>
      <c r="H12" s="409">
        <v>0</v>
      </c>
      <c r="I12" s="415">
        <v>18458</v>
      </c>
      <c r="J12" s="409">
        <f t="shared" si="0"/>
        <v>515</v>
      </c>
      <c r="K12" s="409">
        <f t="shared" si="1"/>
        <v>2247</v>
      </c>
      <c r="L12" s="409">
        <f t="shared" si="2"/>
        <v>15696</v>
      </c>
      <c r="M12" s="409">
        <f t="shared" si="3"/>
        <v>27587</v>
      </c>
      <c r="N12" s="388">
        <f t="shared" si="4"/>
        <v>2.4368871233743119E-2</v>
      </c>
      <c r="O12" s="409">
        <f t="shared" si="5"/>
        <v>0</v>
      </c>
    </row>
    <row r="13" spans="1:15" ht="11.25" customHeight="1">
      <c r="A13" s="409" t="s">
        <v>74</v>
      </c>
      <c r="B13" s="409">
        <v>626</v>
      </c>
      <c r="C13" s="409">
        <v>777</v>
      </c>
      <c r="D13" s="409">
        <v>430</v>
      </c>
      <c r="E13" s="409">
        <v>9033</v>
      </c>
      <c r="F13" s="409">
        <v>154</v>
      </c>
      <c r="G13" s="409">
        <v>0</v>
      </c>
      <c r="H13" s="409">
        <v>63</v>
      </c>
      <c r="I13" s="415">
        <v>11083</v>
      </c>
      <c r="J13" s="409">
        <f t="shared" si="0"/>
        <v>626</v>
      </c>
      <c r="K13" s="409">
        <f t="shared" si="1"/>
        <v>1207</v>
      </c>
      <c r="L13" s="409">
        <f t="shared" si="2"/>
        <v>9250</v>
      </c>
      <c r="M13" s="409">
        <f t="shared" si="3"/>
        <v>19131</v>
      </c>
      <c r="N13" s="388">
        <f t="shared" si="4"/>
        <v>1.6899295884755122E-2</v>
      </c>
      <c r="O13" s="409">
        <f t="shared" si="5"/>
        <v>0</v>
      </c>
    </row>
    <row r="14" spans="1:15" ht="11.25" customHeight="1">
      <c r="A14" s="409" t="s">
        <v>37</v>
      </c>
      <c r="B14" s="409">
        <v>752</v>
      </c>
      <c r="C14" s="409">
        <v>1259</v>
      </c>
      <c r="D14" s="409">
        <v>806</v>
      </c>
      <c r="E14" s="409">
        <v>16386</v>
      </c>
      <c r="F14" s="409">
        <v>133</v>
      </c>
      <c r="G14" s="409">
        <v>0</v>
      </c>
      <c r="H14" s="409">
        <v>206</v>
      </c>
      <c r="I14" s="415">
        <v>19542</v>
      </c>
      <c r="J14" s="409">
        <f t="shared" si="0"/>
        <v>752</v>
      </c>
      <c r="K14" s="409">
        <f t="shared" si="1"/>
        <v>2065</v>
      </c>
      <c r="L14" s="409">
        <f t="shared" si="2"/>
        <v>16725</v>
      </c>
      <c r="M14" s="409">
        <f t="shared" si="3"/>
        <v>30440</v>
      </c>
      <c r="N14" s="388">
        <f t="shared" si="4"/>
        <v>2.6889057902459147E-2</v>
      </c>
      <c r="O14" s="409">
        <f t="shared" si="5"/>
        <v>0</v>
      </c>
    </row>
    <row r="15" spans="1:15" ht="11.25" customHeight="1">
      <c r="A15" s="409" t="s">
        <v>265</v>
      </c>
      <c r="B15" s="409">
        <v>640</v>
      </c>
      <c r="C15" s="409">
        <v>350</v>
      </c>
      <c r="D15" s="409">
        <v>318</v>
      </c>
      <c r="E15" s="409">
        <v>6314</v>
      </c>
      <c r="F15" s="409">
        <v>173</v>
      </c>
      <c r="G15" s="409">
        <v>134</v>
      </c>
      <c r="H15" s="409">
        <v>22</v>
      </c>
      <c r="I15" s="415">
        <v>7951</v>
      </c>
      <c r="J15" s="409">
        <f t="shared" si="0"/>
        <v>640</v>
      </c>
      <c r="K15" s="409">
        <f t="shared" si="1"/>
        <v>668</v>
      </c>
      <c r="L15" s="409">
        <f t="shared" si="2"/>
        <v>6643</v>
      </c>
      <c r="M15" s="409">
        <f t="shared" si="3"/>
        <v>15047</v>
      </c>
      <c r="N15" s="388">
        <f t="shared" si="4"/>
        <v>1.3291710061048055E-2</v>
      </c>
      <c r="O15" s="409">
        <f t="shared" si="5"/>
        <v>0</v>
      </c>
    </row>
    <row r="16" spans="1:15" ht="11.25" customHeight="1">
      <c r="A16" s="409" t="s">
        <v>26</v>
      </c>
      <c r="B16" s="409">
        <v>1192</v>
      </c>
      <c r="C16" s="409">
        <v>756</v>
      </c>
      <c r="D16" s="409">
        <v>2258</v>
      </c>
      <c r="E16" s="409">
        <v>16506</v>
      </c>
      <c r="F16" s="409">
        <v>56</v>
      </c>
      <c r="G16" s="409">
        <v>18</v>
      </c>
      <c r="H16" s="409">
        <v>189</v>
      </c>
      <c r="I16" s="415">
        <v>20975</v>
      </c>
      <c r="J16" s="409">
        <f t="shared" si="0"/>
        <v>1192</v>
      </c>
      <c r="K16" s="409">
        <f t="shared" si="1"/>
        <v>3014</v>
      </c>
      <c r="L16" s="409">
        <f t="shared" si="2"/>
        <v>16769</v>
      </c>
      <c r="M16" s="409">
        <f t="shared" si="3"/>
        <v>37731</v>
      </c>
      <c r="N16" s="388">
        <f t="shared" si="4"/>
        <v>3.3329534944733445E-2</v>
      </c>
      <c r="O16" s="409">
        <f t="shared" si="5"/>
        <v>0</v>
      </c>
    </row>
    <row r="17" spans="1:15" ht="11.25" customHeight="1">
      <c r="A17" s="409" t="s">
        <v>15</v>
      </c>
      <c r="B17" s="409">
        <v>995</v>
      </c>
      <c r="C17" s="409">
        <v>2927</v>
      </c>
      <c r="D17" s="409">
        <v>1001</v>
      </c>
      <c r="E17" s="409">
        <v>11946</v>
      </c>
      <c r="F17" s="409">
        <v>65</v>
      </c>
      <c r="G17" s="409">
        <v>2</v>
      </c>
      <c r="H17" s="409">
        <v>891</v>
      </c>
      <c r="I17" s="415">
        <v>17827</v>
      </c>
      <c r="J17" s="409">
        <f t="shared" si="0"/>
        <v>995</v>
      </c>
      <c r="K17" s="409">
        <f>C17+D17</f>
        <v>3928</v>
      </c>
      <c r="L17" s="409">
        <f t="shared" si="2"/>
        <v>12904</v>
      </c>
      <c r="M17" s="409">
        <f t="shared" si="3"/>
        <v>34638</v>
      </c>
      <c r="N17" s="388">
        <f t="shared" si="4"/>
        <v>3.0597345191372534E-2</v>
      </c>
      <c r="O17" s="409">
        <f t="shared" si="5"/>
        <v>0</v>
      </c>
    </row>
    <row r="18" spans="1:15" ht="11.25" customHeight="1">
      <c r="A18" s="409" t="s">
        <v>28</v>
      </c>
      <c r="B18" s="409">
        <v>2438</v>
      </c>
      <c r="C18" s="409">
        <v>2434</v>
      </c>
      <c r="D18" s="409">
        <v>3306</v>
      </c>
      <c r="E18" s="409">
        <v>30384</v>
      </c>
      <c r="F18" s="409">
        <v>340</v>
      </c>
      <c r="G18" s="409">
        <v>13</v>
      </c>
      <c r="H18" s="409">
        <v>601</v>
      </c>
      <c r="I18" s="415">
        <v>39516</v>
      </c>
      <c r="J18" s="409">
        <f t="shared" si="0"/>
        <v>2438</v>
      </c>
      <c r="K18" s="409">
        <f t="shared" ref="K18:K42" si="6">C18+D18</f>
        <v>5740</v>
      </c>
      <c r="L18" s="409">
        <f t="shared" si="2"/>
        <v>31338</v>
      </c>
      <c r="M18" s="409">
        <f t="shared" si="3"/>
        <v>72938</v>
      </c>
      <c r="N18" s="388">
        <f t="shared" si="4"/>
        <v>6.4429504115951552E-2</v>
      </c>
      <c r="O18" s="409">
        <f t="shared" si="5"/>
        <v>0</v>
      </c>
    </row>
    <row r="19" spans="1:15" ht="11.25" customHeight="1">
      <c r="A19" s="409" t="s">
        <v>46</v>
      </c>
      <c r="B19" s="409">
        <v>561</v>
      </c>
      <c r="C19" s="409">
        <v>438</v>
      </c>
      <c r="D19" s="409">
        <v>652</v>
      </c>
      <c r="E19" s="409">
        <v>6860</v>
      </c>
      <c r="F19" s="409">
        <v>0</v>
      </c>
      <c r="G19" s="409">
        <v>0</v>
      </c>
      <c r="H19" s="409">
        <v>13</v>
      </c>
      <c r="I19" s="415">
        <v>8524</v>
      </c>
      <c r="J19" s="409">
        <f t="shared" si="0"/>
        <v>561</v>
      </c>
      <c r="K19" s="409">
        <f t="shared" si="6"/>
        <v>1090</v>
      </c>
      <c r="L19" s="409">
        <f t="shared" si="2"/>
        <v>6873</v>
      </c>
      <c r="M19" s="409">
        <f t="shared" si="3"/>
        <v>15753</v>
      </c>
      <c r="N19" s="388">
        <f t="shared" si="4"/>
        <v>1.3915352468378415E-2</v>
      </c>
      <c r="O19" s="409">
        <f t="shared" si="5"/>
        <v>0</v>
      </c>
    </row>
    <row r="20" spans="1:15" ht="11.25" customHeight="1">
      <c r="A20" s="409" t="s">
        <v>39</v>
      </c>
      <c r="B20" s="409">
        <v>825</v>
      </c>
      <c r="C20" s="409">
        <v>1971</v>
      </c>
      <c r="D20" s="409">
        <v>2939</v>
      </c>
      <c r="E20" s="409">
        <v>22669</v>
      </c>
      <c r="F20" s="409">
        <v>171</v>
      </c>
      <c r="G20" s="409">
        <v>30</v>
      </c>
      <c r="H20" s="409">
        <v>250</v>
      </c>
      <c r="I20" s="415">
        <v>28855</v>
      </c>
      <c r="J20" s="409">
        <f t="shared" si="0"/>
        <v>825</v>
      </c>
      <c r="K20" s="409">
        <f t="shared" si="6"/>
        <v>4910</v>
      </c>
      <c r="L20" s="409">
        <f t="shared" si="2"/>
        <v>23120</v>
      </c>
      <c r="M20" s="409">
        <f t="shared" si="3"/>
        <v>46100</v>
      </c>
      <c r="N20" s="388">
        <f t="shared" si="4"/>
        <v>4.0722259175537671E-2</v>
      </c>
      <c r="O20" s="409">
        <f t="shared" si="5"/>
        <v>0</v>
      </c>
    </row>
    <row r="21" spans="1:15" ht="11.25" customHeight="1">
      <c r="A21" s="409" t="s">
        <v>258</v>
      </c>
      <c r="B21" s="409">
        <v>1267</v>
      </c>
      <c r="C21" s="409">
        <v>2737</v>
      </c>
      <c r="D21" s="409">
        <v>2114</v>
      </c>
      <c r="E21" s="409">
        <v>20377</v>
      </c>
      <c r="F21" s="409">
        <v>4</v>
      </c>
      <c r="G21" s="409">
        <v>0</v>
      </c>
      <c r="H21" s="409">
        <v>0</v>
      </c>
      <c r="I21" s="415">
        <v>26499</v>
      </c>
      <c r="J21" s="409">
        <f t="shared" si="0"/>
        <v>1267</v>
      </c>
      <c r="K21" s="409">
        <f t="shared" si="6"/>
        <v>4851</v>
      </c>
      <c r="L21" s="409">
        <f t="shared" si="2"/>
        <v>20381</v>
      </c>
      <c r="M21" s="409">
        <f t="shared" si="3"/>
        <v>47604</v>
      </c>
      <c r="N21" s="388">
        <f t="shared" si="4"/>
        <v>4.2050811839312259E-2</v>
      </c>
      <c r="O21" s="409">
        <f t="shared" si="5"/>
        <v>0</v>
      </c>
    </row>
    <row r="22" spans="1:15" ht="11.25" customHeight="1">
      <c r="A22" s="409" t="s">
        <v>16</v>
      </c>
      <c r="B22" s="409">
        <v>187</v>
      </c>
      <c r="C22" s="409">
        <v>446</v>
      </c>
      <c r="D22" s="409">
        <v>787</v>
      </c>
      <c r="E22" s="409">
        <v>6237</v>
      </c>
      <c r="F22" s="409">
        <v>921</v>
      </c>
      <c r="G22" s="409">
        <v>16</v>
      </c>
      <c r="H22" s="409">
        <v>18</v>
      </c>
      <c r="I22" s="415">
        <v>8612</v>
      </c>
      <c r="J22" s="409">
        <f t="shared" si="0"/>
        <v>187</v>
      </c>
      <c r="K22" s="409">
        <f t="shared" si="6"/>
        <v>1233</v>
      </c>
      <c r="L22" s="409">
        <f t="shared" si="2"/>
        <v>7192</v>
      </c>
      <c r="M22" s="409">
        <f t="shared" si="3"/>
        <v>12761</v>
      </c>
      <c r="N22" s="388">
        <f t="shared" si="4"/>
        <v>1.1272380679805558E-2</v>
      </c>
      <c r="O22" s="409">
        <f t="shared" si="5"/>
        <v>0</v>
      </c>
    </row>
    <row r="23" spans="1:15" ht="11.25" customHeight="1">
      <c r="A23" s="409" t="s">
        <v>30</v>
      </c>
      <c r="B23" s="409">
        <v>322</v>
      </c>
      <c r="C23" s="409">
        <v>530</v>
      </c>
      <c r="D23" s="409">
        <v>1236</v>
      </c>
      <c r="E23" s="409">
        <v>7685</v>
      </c>
      <c r="F23" s="409">
        <v>0</v>
      </c>
      <c r="G23" s="409">
        <v>2</v>
      </c>
      <c r="H23" s="409">
        <v>0</v>
      </c>
      <c r="I23" s="415">
        <v>9775</v>
      </c>
      <c r="J23" s="409">
        <f t="shared" si="0"/>
        <v>322</v>
      </c>
      <c r="K23" s="409">
        <f t="shared" si="6"/>
        <v>1766</v>
      </c>
      <c r="L23" s="409">
        <f t="shared" si="2"/>
        <v>7687</v>
      </c>
      <c r="M23" s="409">
        <f t="shared" si="3"/>
        <v>16205</v>
      </c>
      <c r="N23" s="388">
        <f t="shared" si="4"/>
        <v>1.4314624944459609E-2</v>
      </c>
      <c r="O23" s="409">
        <f t="shared" si="5"/>
        <v>0</v>
      </c>
    </row>
    <row r="24" spans="1:15" ht="11.25" customHeight="1">
      <c r="A24" s="409" t="s">
        <v>75</v>
      </c>
      <c r="B24" s="409">
        <v>1269</v>
      </c>
      <c r="C24" s="409">
        <v>699</v>
      </c>
      <c r="D24" s="409">
        <v>825</v>
      </c>
      <c r="E24" s="409">
        <v>10088</v>
      </c>
      <c r="F24" s="409">
        <v>660</v>
      </c>
      <c r="G24" s="409">
        <v>29</v>
      </c>
      <c r="H24" s="409">
        <v>77</v>
      </c>
      <c r="I24" s="415">
        <v>13647</v>
      </c>
      <c r="J24" s="409">
        <f t="shared" si="0"/>
        <v>1269</v>
      </c>
      <c r="K24" s="409">
        <f t="shared" si="6"/>
        <v>1524</v>
      </c>
      <c r="L24" s="409">
        <f t="shared" si="2"/>
        <v>10854</v>
      </c>
      <c r="M24" s="409">
        <f t="shared" si="3"/>
        <v>28116</v>
      </c>
      <c r="N24" s="388">
        <f t="shared" si="4"/>
        <v>2.4836161366147878E-2</v>
      </c>
      <c r="O24" s="409">
        <f t="shared" si="5"/>
        <v>0</v>
      </c>
    </row>
    <row r="25" spans="1:15" ht="11.25" customHeight="1">
      <c r="A25" s="409" t="s">
        <v>32</v>
      </c>
      <c r="B25" s="409">
        <v>67</v>
      </c>
      <c r="C25" s="409">
        <v>130</v>
      </c>
      <c r="D25" s="409">
        <v>369</v>
      </c>
      <c r="E25" s="409">
        <v>3557</v>
      </c>
      <c r="F25" s="409">
        <v>3</v>
      </c>
      <c r="G25" s="409">
        <v>0</v>
      </c>
      <c r="H25" s="409">
        <v>40</v>
      </c>
      <c r="I25" s="415">
        <v>4166</v>
      </c>
      <c r="J25" s="409">
        <f t="shared" si="0"/>
        <v>67</v>
      </c>
      <c r="K25" s="409">
        <f t="shared" si="6"/>
        <v>499</v>
      </c>
      <c r="L25" s="409">
        <f t="shared" si="2"/>
        <v>3600</v>
      </c>
      <c r="M25" s="409">
        <f t="shared" si="3"/>
        <v>5767</v>
      </c>
      <c r="N25" s="388">
        <f t="shared" si="4"/>
        <v>5.0942574547793006E-3</v>
      </c>
      <c r="O25" s="409">
        <f t="shared" si="5"/>
        <v>0</v>
      </c>
    </row>
    <row r="26" spans="1:15" ht="11.25" customHeight="1">
      <c r="A26" s="409" t="s">
        <v>60</v>
      </c>
      <c r="B26" s="409">
        <v>286</v>
      </c>
      <c r="C26" s="409">
        <v>524</v>
      </c>
      <c r="D26" s="409">
        <v>963</v>
      </c>
      <c r="E26" s="409">
        <v>6717</v>
      </c>
      <c r="F26" s="409">
        <v>13</v>
      </c>
      <c r="G26" s="409">
        <v>19</v>
      </c>
      <c r="H26" s="409">
        <v>19</v>
      </c>
      <c r="I26" s="415">
        <v>8541</v>
      </c>
      <c r="J26" s="409">
        <f t="shared" si="0"/>
        <v>286</v>
      </c>
      <c r="K26" s="409">
        <f t="shared" si="6"/>
        <v>1487</v>
      </c>
      <c r="L26" s="409">
        <f t="shared" si="2"/>
        <v>6768</v>
      </c>
      <c r="M26" s="409">
        <f t="shared" si="3"/>
        <v>14089</v>
      </c>
      <c r="N26" s="388">
        <f t="shared" si="4"/>
        <v>1.244546441484057E-2</v>
      </c>
      <c r="O26" s="409">
        <f t="shared" si="5"/>
        <v>0</v>
      </c>
    </row>
    <row r="27" spans="1:15" ht="11.25" customHeight="1">
      <c r="A27" s="409" t="s">
        <v>76</v>
      </c>
      <c r="B27" s="409">
        <v>2840</v>
      </c>
      <c r="C27" s="409">
        <v>1932</v>
      </c>
      <c r="D27" s="409">
        <v>3889</v>
      </c>
      <c r="E27" s="409">
        <v>21614</v>
      </c>
      <c r="F27" s="409">
        <v>1212</v>
      </c>
      <c r="G27" s="409">
        <v>12</v>
      </c>
      <c r="H27" s="409">
        <v>0</v>
      </c>
      <c r="I27" s="415">
        <v>31499</v>
      </c>
      <c r="J27" s="409">
        <f t="shared" si="0"/>
        <v>2840</v>
      </c>
      <c r="K27" s="409">
        <f t="shared" si="6"/>
        <v>5821</v>
      </c>
      <c r="L27" s="409">
        <f t="shared" si="2"/>
        <v>22838</v>
      </c>
      <c r="M27" s="409">
        <f t="shared" si="3"/>
        <v>68701</v>
      </c>
      <c r="N27" s="388">
        <f t="shared" si="4"/>
        <v>6.0686766325783376E-2</v>
      </c>
      <c r="O27" s="409">
        <f t="shared" si="5"/>
        <v>0</v>
      </c>
    </row>
    <row r="28" spans="1:15" ht="11.25" customHeight="1">
      <c r="A28" s="409" t="s">
        <v>77</v>
      </c>
      <c r="B28" s="409">
        <v>747</v>
      </c>
      <c r="C28" s="409">
        <v>1401</v>
      </c>
      <c r="D28" s="409">
        <v>2281</v>
      </c>
      <c r="E28" s="409">
        <v>9283</v>
      </c>
      <c r="F28" s="409">
        <v>159</v>
      </c>
      <c r="G28" s="409">
        <v>4</v>
      </c>
      <c r="H28" s="409">
        <v>279</v>
      </c>
      <c r="I28" s="415">
        <v>14154</v>
      </c>
      <c r="J28" s="409">
        <f t="shared" si="0"/>
        <v>747</v>
      </c>
      <c r="K28" s="409">
        <f t="shared" si="6"/>
        <v>3682</v>
      </c>
      <c r="L28" s="409">
        <f t="shared" si="2"/>
        <v>9725</v>
      </c>
      <c r="M28" s="409">
        <f t="shared" si="3"/>
        <v>28241</v>
      </c>
      <c r="N28" s="388">
        <f t="shared" si="4"/>
        <v>2.4946579639400421E-2</v>
      </c>
      <c r="O28" s="409">
        <f t="shared" si="5"/>
        <v>0</v>
      </c>
    </row>
    <row r="29" spans="1:15" s="158" customFormat="1" ht="11.25" customHeight="1">
      <c r="A29" s="417" t="s">
        <v>78</v>
      </c>
      <c r="B29" s="417">
        <f>2263+B46</f>
        <v>2427</v>
      </c>
      <c r="C29" s="417">
        <f>C46+4534</f>
        <v>4726</v>
      </c>
      <c r="D29" s="417">
        <f>D46+1523</f>
        <v>1598</v>
      </c>
      <c r="E29" s="417">
        <f>E46+18454</f>
        <v>19535</v>
      </c>
      <c r="F29" s="417">
        <f>F46+33</f>
        <v>33</v>
      </c>
      <c r="G29" s="417">
        <f>G46+0</f>
        <v>0</v>
      </c>
      <c r="H29" s="417">
        <f>H46+541</f>
        <v>556</v>
      </c>
      <c r="I29" s="418">
        <f>I46+27348</f>
        <v>28875</v>
      </c>
      <c r="J29" s="409">
        <f t="shared" si="0"/>
        <v>2427</v>
      </c>
      <c r="K29" s="409">
        <f t="shared" si="6"/>
        <v>6324</v>
      </c>
      <c r="L29" s="409">
        <f t="shared" si="2"/>
        <v>20124</v>
      </c>
      <c r="M29" s="409">
        <f t="shared" si="3"/>
        <v>63366</v>
      </c>
      <c r="N29" s="388">
        <f t="shared" si="4"/>
        <v>5.5974114423364862E-2</v>
      </c>
      <c r="O29" s="409">
        <f t="shared" si="5"/>
        <v>0</v>
      </c>
    </row>
    <row r="30" spans="1:15" ht="11.25" customHeight="1">
      <c r="A30" s="409" t="s">
        <v>79</v>
      </c>
      <c r="B30" s="409">
        <v>724</v>
      </c>
      <c r="C30" s="409">
        <v>455</v>
      </c>
      <c r="D30" s="409">
        <v>680</v>
      </c>
      <c r="E30" s="409">
        <v>14132</v>
      </c>
      <c r="F30" s="409">
        <v>132</v>
      </c>
      <c r="G30" s="409">
        <v>1168</v>
      </c>
      <c r="H30" s="409">
        <v>116</v>
      </c>
      <c r="I30" s="415">
        <v>17407</v>
      </c>
      <c r="J30" s="409">
        <f t="shared" si="0"/>
        <v>724</v>
      </c>
      <c r="K30" s="409">
        <f t="shared" si="6"/>
        <v>1135</v>
      </c>
      <c r="L30" s="409">
        <f t="shared" si="2"/>
        <v>15548</v>
      </c>
      <c r="M30" s="409">
        <f t="shared" si="3"/>
        <v>26193</v>
      </c>
      <c r="N30" s="388">
        <f t="shared" si="4"/>
        <v>2.3137486650430764E-2</v>
      </c>
      <c r="O30" s="409">
        <f t="shared" si="5"/>
        <v>0</v>
      </c>
    </row>
    <row r="31" spans="1:15" ht="11.25" customHeight="1">
      <c r="A31" s="416" t="s">
        <v>80</v>
      </c>
      <c r="B31" s="409"/>
      <c r="C31" s="409"/>
      <c r="D31" s="409"/>
      <c r="E31" s="409"/>
      <c r="F31" s="409"/>
      <c r="G31" s="409"/>
      <c r="H31" s="409"/>
      <c r="I31" s="415"/>
      <c r="J31" s="409"/>
      <c r="K31" s="409"/>
      <c r="L31" s="409"/>
      <c r="M31" s="409"/>
      <c r="N31" s="388"/>
      <c r="O31" s="409"/>
    </row>
    <row r="32" spans="1:15" ht="11.25" customHeight="1">
      <c r="A32" s="409" t="s">
        <v>81</v>
      </c>
      <c r="B32" s="409">
        <v>2821</v>
      </c>
      <c r="C32" s="409">
        <v>1400</v>
      </c>
      <c r="D32" s="409">
        <v>1220</v>
      </c>
      <c r="E32" s="409">
        <v>19441</v>
      </c>
      <c r="F32" s="409">
        <v>1444</v>
      </c>
      <c r="G32" s="409">
        <v>0</v>
      </c>
      <c r="H32" s="409">
        <v>81</v>
      </c>
      <c r="I32" s="415">
        <v>26407</v>
      </c>
      <c r="J32" s="409">
        <f t="shared" si="0"/>
        <v>2821</v>
      </c>
      <c r="K32" s="409">
        <f t="shared" si="6"/>
        <v>2620</v>
      </c>
      <c r="L32" s="409">
        <f t="shared" si="2"/>
        <v>20966</v>
      </c>
      <c r="M32" s="409">
        <f t="shared" si="3"/>
        <v>57036</v>
      </c>
      <c r="N32" s="388">
        <f t="shared" si="4"/>
        <v>5.0382533065856105E-2</v>
      </c>
      <c r="O32" s="409">
        <f t="shared" si="5"/>
        <v>0</v>
      </c>
    </row>
    <row r="33" spans="1:20" ht="11.25" customHeight="1">
      <c r="A33" s="409" t="s">
        <v>52</v>
      </c>
      <c r="B33" s="409">
        <v>639</v>
      </c>
      <c r="C33" s="409">
        <v>1290</v>
      </c>
      <c r="D33" s="409">
        <v>2500</v>
      </c>
      <c r="E33" s="409">
        <v>17122</v>
      </c>
      <c r="F33" s="409">
        <v>1484</v>
      </c>
      <c r="G33" s="409">
        <v>53</v>
      </c>
      <c r="H33" s="409">
        <v>101</v>
      </c>
      <c r="I33" s="415">
        <v>23189</v>
      </c>
      <c r="J33" s="409">
        <f t="shared" si="0"/>
        <v>639</v>
      </c>
      <c r="K33" s="409">
        <f t="shared" si="6"/>
        <v>3790</v>
      </c>
      <c r="L33" s="409">
        <f t="shared" si="2"/>
        <v>18760</v>
      </c>
      <c r="M33" s="409">
        <f t="shared" si="3"/>
        <v>36520</v>
      </c>
      <c r="N33" s="388">
        <f t="shared" si="4"/>
        <v>3.2259802713462814E-2</v>
      </c>
      <c r="O33" s="409">
        <f t="shared" si="5"/>
        <v>0</v>
      </c>
    </row>
    <row r="34" spans="1:20" ht="11.25" customHeight="1">
      <c r="A34" s="409" t="s">
        <v>41</v>
      </c>
      <c r="B34" s="409">
        <v>139</v>
      </c>
      <c r="C34" s="409">
        <v>773</v>
      </c>
      <c r="D34" s="409">
        <v>1191</v>
      </c>
      <c r="E34" s="409">
        <v>11639</v>
      </c>
      <c r="F34" s="409">
        <v>581</v>
      </c>
      <c r="G34" s="409">
        <v>357</v>
      </c>
      <c r="H34" s="409">
        <v>660</v>
      </c>
      <c r="I34" s="415">
        <v>15340</v>
      </c>
      <c r="J34" s="409">
        <f t="shared" si="0"/>
        <v>139</v>
      </c>
      <c r="K34" s="409">
        <f t="shared" si="6"/>
        <v>1964</v>
      </c>
      <c r="L34" s="409">
        <f t="shared" si="2"/>
        <v>13237</v>
      </c>
      <c r="M34" s="409">
        <f t="shared" si="3"/>
        <v>20519</v>
      </c>
      <c r="N34" s="388">
        <f t="shared" si="4"/>
        <v>1.8125380390951355E-2</v>
      </c>
      <c r="O34" s="409">
        <f t="shared" si="5"/>
        <v>0</v>
      </c>
    </row>
    <row r="35" spans="1:20" ht="11.25" customHeight="1">
      <c r="A35" s="409" t="s">
        <v>82</v>
      </c>
      <c r="B35" s="409">
        <v>3196</v>
      </c>
      <c r="C35" s="409">
        <v>2823</v>
      </c>
      <c r="D35" s="409">
        <v>1491</v>
      </c>
      <c r="E35" s="409">
        <v>21713</v>
      </c>
      <c r="F35" s="409">
        <v>1005</v>
      </c>
      <c r="G35" s="409">
        <v>2</v>
      </c>
      <c r="H35" s="409">
        <v>139</v>
      </c>
      <c r="I35" s="415">
        <v>30369</v>
      </c>
      <c r="J35" s="409">
        <f t="shared" si="0"/>
        <v>3196</v>
      </c>
      <c r="K35" s="409">
        <f t="shared" si="6"/>
        <v>4314</v>
      </c>
      <c r="L35" s="409">
        <f t="shared" si="2"/>
        <v>22859</v>
      </c>
      <c r="M35" s="409">
        <f t="shared" si="3"/>
        <v>67761</v>
      </c>
      <c r="N35" s="388">
        <f t="shared" si="4"/>
        <v>5.9856420910924253E-2</v>
      </c>
      <c r="O35" s="409">
        <f t="shared" si="5"/>
        <v>0</v>
      </c>
    </row>
    <row r="36" spans="1:20" s="160" customFormat="1" ht="11.25" customHeight="1">
      <c r="A36" s="419" t="s">
        <v>54</v>
      </c>
      <c r="B36" s="419">
        <f>B47+707</f>
        <v>714</v>
      </c>
      <c r="C36" s="419">
        <f>C47+399</f>
        <v>415</v>
      </c>
      <c r="D36" s="419">
        <f>D47+533</f>
        <v>647</v>
      </c>
      <c r="E36" s="419">
        <f>E47+9937</f>
        <v>10165</v>
      </c>
      <c r="F36" s="419">
        <f>F47+318</f>
        <v>700</v>
      </c>
      <c r="G36" s="419">
        <f>G47+55</f>
        <v>55</v>
      </c>
      <c r="H36" s="419">
        <f>H47+50</f>
        <v>65</v>
      </c>
      <c r="I36" s="420">
        <f>I47+11999</f>
        <v>12761</v>
      </c>
      <c r="J36" s="409">
        <f t="shared" si="0"/>
        <v>714</v>
      </c>
      <c r="K36" s="409">
        <f t="shared" si="6"/>
        <v>1062</v>
      </c>
      <c r="L36" s="409">
        <f t="shared" si="2"/>
        <v>10985</v>
      </c>
      <c r="M36" s="409">
        <f t="shared" si="3"/>
        <v>21311</v>
      </c>
      <c r="N36" s="388">
        <f t="shared" si="4"/>
        <v>1.8824990570279466E-2</v>
      </c>
      <c r="O36" s="409">
        <f t="shared" si="5"/>
        <v>0</v>
      </c>
    </row>
    <row r="37" spans="1:20" ht="11.25" customHeight="1">
      <c r="A37" s="409" t="s">
        <v>21</v>
      </c>
      <c r="B37" s="409">
        <v>582</v>
      </c>
      <c r="C37" s="409">
        <v>2515</v>
      </c>
      <c r="D37" s="409">
        <v>2413</v>
      </c>
      <c r="E37" s="409">
        <v>15584</v>
      </c>
      <c r="F37" s="409">
        <v>114</v>
      </c>
      <c r="G37" s="409">
        <v>64</v>
      </c>
      <c r="H37" s="409">
        <v>125</v>
      </c>
      <c r="I37" s="415">
        <v>21397</v>
      </c>
      <c r="J37" s="409">
        <f t="shared" si="0"/>
        <v>582</v>
      </c>
      <c r="K37" s="409">
        <f t="shared" si="6"/>
        <v>4928</v>
      </c>
      <c r="L37" s="409">
        <f t="shared" si="2"/>
        <v>15887</v>
      </c>
      <c r="M37" s="409">
        <f t="shared" si="3"/>
        <v>36491</v>
      </c>
      <c r="N37" s="388">
        <f t="shared" si="4"/>
        <v>3.2234185674068223E-2</v>
      </c>
      <c r="O37" s="409">
        <f t="shared" si="5"/>
        <v>0</v>
      </c>
    </row>
    <row r="38" spans="1:20" ht="11.25" customHeight="1">
      <c r="A38" s="416" t="s">
        <v>42</v>
      </c>
      <c r="B38" s="409"/>
      <c r="C38" s="409"/>
      <c r="D38" s="409"/>
      <c r="E38" s="409"/>
      <c r="F38" s="409"/>
      <c r="G38" s="409"/>
      <c r="H38" s="409"/>
      <c r="I38" s="415"/>
      <c r="J38" s="409"/>
      <c r="K38" s="409"/>
      <c r="L38" s="409"/>
      <c r="M38" s="409"/>
      <c r="N38" s="388"/>
      <c r="O38" s="409"/>
    </row>
    <row r="39" spans="1:20" ht="11.25" customHeight="1">
      <c r="A39" s="409" t="s">
        <v>83</v>
      </c>
      <c r="B39" s="409">
        <v>1386</v>
      </c>
      <c r="C39" s="409">
        <v>596</v>
      </c>
      <c r="D39" s="409">
        <v>559</v>
      </c>
      <c r="E39" s="409">
        <v>10569</v>
      </c>
      <c r="F39" s="409">
        <v>0</v>
      </c>
      <c r="G39" s="409">
        <v>22</v>
      </c>
      <c r="H39" s="409">
        <v>0</v>
      </c>
      <c r="I39" s="415">
        <v>13132</v>
      </c>
      <c r="J39" s="409">
        <f t="shared" si="0"/>
        <v>1386</v>
      </c>
      <c r="K39" s="409">
        <f t="shared" si="6"/>
        <v>1155</v>
      </c>
      <c r="L39" s="409">
        <f t="shared" si="2"/>
        <v>10591</v>
      </c>
      <c r="M39" s="409">
        <f t="shared" si="3"/>
        <v>27916</v>
      </c>
      <c r="N39" s="388">
        <f t="shared" si="4"/>
        <v>2.4659492128943809E-2</v>
      </c>
      <c r="O39" s="409">
        <f t="shared" si="5"/>
        <v>0</v>
      </c>
    </row>
    <row r="40" spans="1:20" ht="11.25" customHeight="1">
      <c r="A40" s="409" t="s">
        <v>22</v>
      </c>
      <c r="B40" s="409">
        <v>753</v>
      </c>
      <c r="C40" s="409">
        <v>2257</v>
      </c>
      <c r="D40" s="409">
        <v>1205</v>
      </c>
      <c r="E40" s="409">
        <v>19949</v>
      </c>
      <c r="F40" s="409">
        <v>412</v>
      </c>
      <c r="G40" s="409">
        <v>273</v>
      </c>
      <c r="H40" s="409">
        <v>148</v>
      </c>
      <c r="I40" s="415">
        <v>24997</v>
      </c>
      <c r="J40" s="409">
        <f t="shared" si="0"/>
        <v>753</v>
      </c>
      <c r="K40" s="409">
        <f t="shared" si="6"/>
        <v>3462</v>
      </c>
      <c r="L40" s="409">
        <f t="shared" si="2"/>
        <v>20782</v>
      </c>
      <c r="M40" s="409">
        <f t="shared" si="3"/>
        <v>38698</v>
      </c>
      <c r="N40" s="388">
        <f t="shared" si="4"/>
        <v>3.4183730706615116E-2</v>
      </c>
      <c r="O40" s="409">
        <f t="shared" si="5"/>
        <v>0</v>
      </c>
    </row>
    <row r="41" spans="1:20" ht="11.25" customHeight="1">
      <c r="A41" s="409" t="s">
        <v>23</v>
      </c>
      <c r="B41" s="409">
        <v>807</v>
      </c>
      <c r="C41" s="409">
        <v>1355</v>
      </c>
      <c r="D41" s="409">
        <v>1062</v>
      </c>
      <c r="E41" s="409">
        <v>8583</v>
      </c>
      <c r="F41" s="409">
        <v>128</v>
      </c>
      <c r="G41" s="409">
        <v>0</v>
      </c>
      <c r="H41" s="409">
        <v>146</v>
      </c>
      <c r="I41" s="415">
        <v>12081</v>
      </c>
      <c r="J41" s="409">
        <f t="shared" si="0"/>
        <v>807</v>
      </c>
      <c r="K41" s="409">
        <f t="shared" si="6"/>
        <v>2417</v>
      </c>
      <c r="L41" s="409">
        <f t="shared" si="2"/>
        <v>8857</v>
      </c>
      <c r="M41" s="409">
        <f t="shared" si="3"/>
        <v>24178</v>
      </c>
      <c r="N41" s="388">
        <f t="shared" si="4"/>
        <v>2.135754408559978E-2</v>
      </c>
      <c r="O41" s="409">
        <f t="shared" si="5"/>
        <v>0</v>
      </c>
    </row>
    <row r="42" spans="1:20" ht="11.25" customHeight="1">
      <c r="A42" s="421" t="s">
        <v>259</v>
      </c>
      <c r="B42" s="421">
        <v>504</v>
      </c>
      <c r="C42" s="421">
        <v>654</v>
      </c>
      <c r="D42" s="421">
        <v>1773</v>
      </c>
      <c r="E42" s="421">
        <v>10732</v>
      </c>
      <c r="F42" s="421">
        <v>494</v>
      </c>
      <c r="G42" s="421">
        <v>0</v>
      </c>
      <c r="H42" s="421">
        <v>133</v>
      </c>
      <c r="I42" s="415">
        <v>14290</v>
      </c>
      <c r="J42" s="421">
        <f t="shared" si="0"/>
        <v>504</v>
      </c>
      <c r="K42" s="421">
        <f t="shared" si="6"/>
        <v>2427</v>
      </c>
      <c r="L42" s="421">
        <f t="shared" si="2"/>
        <v>11359</v>
      </c>
      <c r="M42" s="421">
        <f t="shared" si="3"/>
        <v>23680</v>
      </c>
      <c r="N42" s="401">
        <f t="shared" si="4"/>
        <v>2.0917637684961649E-2</v>
      </c>
      <c r="O42" s="409">
        <f t="shared" si="5"/>
        <v>0</v>
      </c>
    </row>
    <row r="43" spans="1:20" ht="12" thickBot="1">
      <c r="A43" s="407" t="s">
        <v>10</v>
      </c>
      <c r="B43" s="422">
        <f t="shared" ref="B43:H43" si="7">SUM(B4:B42)</f>
        <v>33560</v>
      </c>
      <c r="C43" s="422">
        <f t="shared" si="7"/>
        <v>45374</v>
      </c>
      <c r="D43" s="422">
        <f t="shared" si="7"/>
        <v>53491</v>
      </c>
      <c r="E43" s="422">
        <f t="shared" si="7"/>
        <v>473999</v>
      </c>
      <c r="F43" s="422">
        <f t="shared" si="7"/>
        <v>16509</v>
      </c>
      <c r="G43" s="422">
        <f t="shared" si="7"/>
        <v>3096</v>
      </c>
      <c r="H43" s="422">
        <f t="shared" si="7"/>
        <v>6260</v>
      </c>
      <c r="I43" s="423">
        <f t="shared" ref="I43:N43" si="8">SUM(I4:I42)</f>
        <v>632289</v>
      </c>
      <c r="J43" s="422">
        <f t="shared" si="8"/>
        <v>33560</v>
      </c>
      <c r="K43" s="422">
        <f t="shared" si="8"/>
        <v>98865</v>
      </c>
      <c r="L43" s="422">
        <f t="shared" si="8"/>
        <v>499864</v>
      </c>
      <c r="M43" s="422">
        <f t="shared" si="8"/>
        <v>1132059</v>
      </c>
      <c r="N43" s="424">
        <f t="shared" si="8"/>
        <v>1</v>
      </c>
      <c r="O43" s="425">
        <f t="shared" si="5"/>
        <v>0</v>
      </c>
      <c r="P43" s="188"/>
      <c r="Q43" s="188"/>
      <c r="R43" s="188"/>
      <c r="S43" s="188"/>
      <c r="T43" s="188"/>
    </row>
    <row r="44" spans="1:20" ht="11.1" customHeight="1">
      <c r="A44" s="136"/>
      <c r="I44" s="157"/>
    </row>
    <row r="45" spans="1:20" ht="11.1" customHeight="1">
      <c r="A45" s="155" t="s">
        <v>266</v>
      </c>
    </row>
    <row r="46" spans="1:20" ht="11.1" customHeight="1">
      <c r="A46" s="158" t="s">
        <v>246</v>
      </c>
      <c r="B46" s="158">
        <v>164</v>
      </c>
      <c r="C46" s="158">
        <v>192</v>
      </c>
      <c r="D46" s="158">
        <v>75</v>
      </c>
      <c r="E46" s="158">
        <v>1081</v>
      </c>
      <c r="F46" s="158">
        <v>0</v>
      </c>
      <c r="G46" s="158">
        <v>0</v>
      </c>
      <c r="H46" s="158">
        <v>15</v>
      </c>
      <c r="I46" s="159">
        <v>1527</v>
      </c>
      <c r="J46" s="158"/>
      <c r="K46" s="158"/>
      <c r="L46" s="158"/>
    </row>
    <row r="47" spans="1:20" ht="11.1" customHeight="1">
      <c r="A47" s="160" t="s">
        <v>240</v>
      </c>
      <c r="B47" s="160">
        <v>7</v>
      </c>
      <c r="C47" s="160">
        <v>16</v>
      </c>
      <c r="D47" s="160">
        <v>114</v>
      </c>
      <c r="E47" s="160">
        <v>228</v>
      </c>
      <c r="F47" s="160">
        <v>382</v>
      </c>
      <c r="G47" s="160">
        <v>0</v>
      </c>
      <c r="H47" s="160">
        <v>15</v>
      </c>
      <c r="I47" s="161">
        <v>762</v>
      </c>
      <c r="J47" s="160"/>
      <c r="K47" s="160"/>
      <c r="L47" s="160"/>
    </row>
  </sheetData>
  <autoFilter ref="A3:O3" xr:uid="{00000000-0009-0000-0000-000006000000}"/>
  <hyperlinks>
    <hyperlink ref="A1" location="Index!A1" display="&lt; Back to Index &gt;" xr:uid="{00000000-0004-0000-0600-000000000000}"/>
    <hyperlink ref="B1" location="'Ave weight 1996-2013'!A1" display="Ave weight 1996-2013" xr:uid="{00000000-0004-0000-0600-000001000000}"/>
    <hyperlink ref="O1" location="'Ave weight 1996-2013'!A1" display="Ave weight 1996-2013" xr:uid="{00000000-0004-0000-0600-000002000000}"/>
  </hyperlinks>
  <pageMargins left="0.78740157480314965" right="0.59055118110236227" top="0.78740157480314965" bottom="0.78740157480314965" header="0.51181102362204722" footer="0.51181102362204722"/>
  <pageSetup paperSize="9" orientation="portrait" horizontalDpi="4294967292" verticalDpi="4294967292" r:id="rId1"/>
  <headerFooter alignWithMargins="0">
    <oddHeader>&amp;C&amp;F</oddHeader>
    <oddFooter>&amp;R&amp;D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9"/>
  <sheetViews>
    <sheetView workbookViewId="0">
      <pane xSplit="1" ySplit="3" topLeftCell="D40" activePane="bottomRight" state="frozen"/>
      <selection pane="topRight" activeCell="B1" sqref="B1"/>
      <selection pane="bottomLeft" activeCell="A4" sqref="A4"/>
      <selection pane="bottomRight" activeCell="U1" sqref="U1"/>
    </sheetView>
  </sheetViews>
  <sheetFormatPr defaultColWidth="9.140625" defaultRowHeight="11.25"/>
  <cols>
    <col min="1" max="1" width="34" style="148" customWidth="1"/>
    <col min="2" max="2" width="7.42578125" style="148" customWidth="1"/>
    <col min="3" max="3" width="8.42578125" style="148" customWidth="1"/>
    <col min="4" max="4" width="6.85546875" style="148" bestFit="1" customWidth="1"/>
    <col min="5" max="5" width="8.42578125" style="148" customWidth="1"/>
    <col min="6" max="7" width="9.140625" style="148"/>
    <col min="8" max="8" width="6.42578125" style="148" customWidth="1"/>
    <col min="9" max="9" width="7.140625" style="148" customWidth="1"/>
    <col min="10" max="10" width="10.42578125" style="148" bestFit="1" customWidth="1"/>
    <col min="11" max="11" width="10.28515625" style="148" customWidth="1"/>
    <col min="12" max="12" width="6.7109375" style="148" bestFit="1" customWidth="1"/>
    <col min="13" max="13" width="6" style="148" bestFit="1" customWidth="1"/>
    <col min="14" max="14" width="9.140625" style="148"/>
    <col min="15" max="15" width="7.85546875" style="148" customWidth="1"/>
    <col min="16" max="16" width="7.42578125" style="150" customWidth="1"/>
    <col min="17" max="17" width="8.28515625" style="150" customWidth="1"/>
    <col min="18" max="18" width="7.140625" style="150" customWidth="1"/>
    <col min="19" max="16384" width="9.140625" style="150"/>
  </cols>
  <sheetData>
    <row r="1" spans="1:21" ht="12.75">
      <c r="A1" s="288" t="s">
        <v>286</v>
      </c>
      <c r="D1" s="523" t="s">
        <v>304</v>
      </c>
      <c r="U1" s="523" t="s">
        <v>304</v>
      </c>
    </row>
    <row r="2" spans="1:21">
      <c r="A2" s="406" t="s">
        <v>263</v>
      </c>
    </row>
    <row r="3" spans="1:21" s="431" customFormat="1" ht="45">
      <c r="A3" s="430" t="s">
        <v>255</v>
      </c>
      <c r="B3" s="427" t="s">
        <v>0</v>
      </c>
      <c r="C3" s="427" t="s">
        <v>1</v>
      </c>
      <c r="D3" s="427" t="s">
        <v>2</v>
      </c>
      <c r="E3" s="427" t="s">
        <v>3</v>
      </c>
      <c r="F3" s="427" t="s">
        <v>4</v>
      </c>
      <c r="G3" s="428" t="s">
        <v>11</v>
      </c>
      <c r="H3" s="427" t="s">
        <v>5</v>
      </c>
      <c r="I3" s="427" t="s">
        <v>6</v>
      </c>
      <c r="J3" s="427" t="s">
        <v>7</v>
      </c>
      <c r="K3" s="428" t="s">
        <v>12</v>
      </c>
      <c r="L3" s="427" t="s">
        <v>8</v>
      </c>
      <c r="M3" s="427" t="s">
        <v>9</v>
      </c>
      <c r="N3" s="427" t="s">
        <v>252</v>
      </c>
      <c r="O3" s="429" t="s">
        <v>257</v>
      </c>
      <c r="P3" s="447" t="s">
        <v>86</v>
      </c>
      <c r="Q3" s="447" t="s">
        <v>87</v>
      </c>
      <c r="R3" s="447" t="s">
        <v>88</v>
      </c>
      <c r="S3" s="447" t="s">
        <v>89</v>
      </c>
      <c r="T3" s="447" t="s">
        <v>90</v>
      </c>
      <c r="U3" s="450" t="s">
        <v>294</v>
      </c>
    </row>
    <row r="4" spans="1:21">
      <c r="A4" s="152" t="s">
        <v>62</v>
      </c>
      <c r="B4" s="153">
        <v>127</v>
      </c>
      <c r="C4" s="153">
        <v>0</v>
      </c>
      <c r="D4" s="153">
        <v>32</v>
      </c>
      <c r="E4" s="153">
        <v>511</v>
      </c>
      <c r="F4" s="153">
        <v>525</v>
      </c>
      <c r="G4" s="189">
        <f t="shared" ref="G4:G43" si="0">SUM(B4:F4)</f>
        <v>1195</v>
      </c>
      <c r="H4" s="149">
        <v>6162</v>
      </c>
      <c r="I4" s="153">
        <v>0</v>
      </c>
      <c r="J4" s="153">
        <v>121</v>
      </c>
      <c r="K4" s="189">
        <f t="shared" ref="K4:K43" si="1">SUM(H4:J4)</f>
        <v>6283</v>
      </c>
      <c r="L4" s="153">
        <v>0</v>
      </c>
      <c r="M4" s="153">
        <v>114</v>
      </c>
      <c r="N4" s="153">
        <v>49</v>
      </c>
      <c r="O4" s="198">
        <v>7641</v>
      </c>
      <c r="P4" s="150">
        <f>B4+D4</f>
        <v>159</v>
      </c>
      <c r="Q4" s="150">
        <f t="shared" ref="Q4:Q42" si="2">C4+E4+F4</f>
        <v>1036</v>
      </c>
      <c r="R4" s="191">
        <f t="shared" ref="R4:R42" si="3">SUM(K4:N4)</f>
        <v>6446</v>
      </c>
      <c r="S4" s="150">
        <f t="shared" ref="S4:S42" si="4">(10*P4)+(3*Q4)+R4</f>
        <v>11144</v>
      </c>
      <c r="T4" s="192">
        <f t="shared" ref="T4:T42" si="5">S4/$S$43</f>
        <v>1.1139599858056067E-2</v>
      </c>
      <c r="U4" s="191">
        <f t="shared" ref="U4:U42" si="6">O4-SUM(P4:R4)</f>
        <v>0</v>
      </c>
    </row>
    <row r="5" spans="1:21">
      <c r="A5" s="152" t="s">
        <v>84</v>
      </c>
      <c r="B5" s="149">
        <v>1076</v>
      </c>
      <c r="C5" s="153">
        <v>0</v>
      </c>
      <c r="D5" s="153">
        <v>67</v>
      </c>
      <c r="E5" s="153">
        <v>651</v>
      </c>
      <c r="F5" s="153">
        <v>452</v>
      </c>
      <c r="G5" s="189">
        <f t="shared" si="0"/>
        <v>2246</v>
      </c>
      <c r="H5" s="149">
        <v>5956</v>
      </c>
      <c r="I5" s="153">
        <v>0</v>
      </c>
      <c r="J5" s="153">
        <v>32</v>
      </c>
      <c r="K5" s="189">
        <f t="shared" si="1"/>
        <v>5988</v>
      </c>
      <c r="L5" s="153">
        <v>0</v>
      </c>
      <c r="M5" s="153">
        <v>115</v>
      </c>
      <c r="N5" s="153">
        <v>78</v>
      </c>
      <c r="O5" s="198">
        <v>8425</v>
      </c>
      <c r="P5" s="150">
        <f t="shared" ref="P5:P42" si="7">B5+D5</f>
        <v>1143</v>
      </c>
      <c r="Q5" s="150">
        <f t="shared" si="2"/>
        <v>1103</v>
      </c>
      <c r="R5" s="191">
        <f t="shared" si="3"/>
        <v>6181</v>
      </c>
      <c r="S5" s="150">
        <f t="shared" si="4"/>
        <v>20920</v>
      </c>
      <c r="T5" s="192">
        <f t="shared" si="5"/>
        <v>2.091173986275421E-2</v>
      </c>
      <c r="U5" s="191">
        <f t="shared" si="6"/>
        <v>-2</v>
      </c>
    </row>
    <row r="6" spans="1:21">
      <c r="A6" s="152" t="s">
        <v>35</v>
      </c>
      <c r="B6" s="153">
        <v>23</v>
      </c>
      <c r="C6" s="153">
        <v>0</v>
      </c>
      <c r="D6" s="153">
        <v>9</v>
      </c>
      <c r="E6" s="153">
        <v>0</v>
      </c>
      <c r="F6" s="153">
        <v>0</v>
      </c>
      <c r="G6" s="189">
        <f t="shared" si="0"/>
        <v>32</v>
      </c>
      <c r="H6" s="153">
        <v>0</v>
      </c>
      <c r="I6" s="153">
        <v>0</v>
      </c>
      <c r="J6" s="153">
        <v>0</v>
      </c>
      <c r="K6" s="189">
        <f t="shared" si="1"/>
        <v>0</v>
      </c>
      <c r="L6" s="153">
        <v>0</v>
      </c>
      <c r="M6" s="153">
        <v>0</v>
      </c>
      <c r="N6" s="153">
        <v>0</v>
      </c>
      <c r="O6" s="199">
        <v>32</v>
      </c>
      <c r="P6" s="150">
        <f t="shared" si="7"/>
        <v>32</v>
      </c>
      <c r="Q6" s="150">
        <f t="shared" si="2"/>
        <v>0</v>
      </c>
      <c r="R6" s="191">
        <f t="shared" si="3"/>
        <v>0</v>
      </c>
      <c r="S6" s="150">
        <f t="shared" si="4"/>
        <v>320</v>
      </c>
      <c r="T6" s="192">
        <f t="shared" si="5"/>
        <v>3.1987364990828624E-4</v>
      </c>
      <c r="U6" s="191">
        <f t="shared" si="6"/>
        <v>0</v>
      </c>
    </row>
    <row r="7" spans="1:21">
      <c r="A7" s="152" t="s">
        <v>36</v>
      </c>
      <c r="B7" s="153">
        <v>109</v>
      </c>
      <c r="C7" s="153">
        <v>13</v>
      </c>
      <c r="D7" s="153">
        <v>43</v>
      </c>
      <c r="E7" s="149">
        <v>1162</v>
      </c>
      <c r="F7" s="149">
        <v>1356</v>
      </c>
      <c r="G7" s="189">
        <f t="shared" si="0"/>
        <v>2683</v>
      </c>
      <c r="H7" s="149">
        <v>10410</v>
      </c>
      <c r="I7" s="153">
        <v>0</v>
      </c>
      <c r="J7" s="153">
        <v>135</v>
      </c>
      <c r="K7" s="189">
        <f t="shared" si="1"/>
        <v>10545</v>
      </c>
      <c r="L7" s="153">
        <v>253</v>
      </c>
      <c r="M7" s="153">
        <v>14</v>
      </c>
      <c r="N7" s="153">
        <v>69</v>
      </c>
      <c r="O7" s="198">
        <v>13563</v>
      </c>
      <c r="P7" s="150">
        <f t="shared" si="7"/>
        <v>152</v>
      </c>
      <c r="Q7" s="150">
        <f t="shared" si="2"/>
        <v>2531</v>
      </c>
      <c r="R7" s="191">
        <f t="shared" si="3"/>
        <v>10881</v>
      </c>
      <c r="S7" s="150">
        <f t="shared" si="4"/>
        <v>19994</v>
      </c>
      <c r="T7" s="192">
        <f t="shared" si="5"/>
        <v>1.9986105488332108E-2</v>
      </c>
      <c r="U7" s="191">
        <f t="shared" si="6"/>
        <v>-1</v>
      </c>
    </row>
    <row r="8" spans="1:21">
      <c r="A8" s="170" t="s">
        <v>267</v>
      </c>
      <c r="B8" s="153">
        <v>100</v>
      </c>
      <c r="C8" s="153">
        <v>12</v>
      </c>
      <c r="D8" s="153">
        <v>21</v>
      </c>
      <c r="E8" s="153">
        <v>161</v>
      </c>
      <c r="F8" s="153">
        <v>268</v>
      </c>
      <c r="G8" s="189">
        <f t="shared" si="0"/>
        <v>562</v>
      </c>
      <c r="H8" s="149">
        <v>2039</v>
      </c>
      <c r="I8" s="153">
        <v>28</v>
      </c>
      <c r="J8" s="153">
        <v>93</v>
      </c>
      <c r="K8" s="189">
        <f t="shared" si="1"/>
        <v>2160</v>
      </c>
      <c r="L8" s="153">
        <v>163</v>
      </c>
      <c r="M8" s="153">
        <v>12</v>
      </c>
      <c r="N8" s="153">
        <v>11</v>
      </c>
      <c r="O8" s="198">
        <v>2908</v>
      </c>
      <c r="P8" s="150">
        <f t="shared" si="7"/>
        <v>121</v>
      </c>
      <c r="Q8" s="150">
        <f t="shared" si="2"/>
        <v>441</v>
      </c>
      <c r="R8" s="191">
        <f t="shared" si="3"/>
        <v>2346</v>
      </c>
      <c r="S8" s="150">
        <f t="shared" si="4"/>
        <v>4879</v>
      </c>
      <c r="T8" s="192">
        <f t="shared" si="5"/>
        <v>4.8770735559454017E-3</v>
      </c>
      <c r="U8" s="191">
        <f t="shared" si="6"/>
        <v>0</v>
      </c>
    </row>
    <row r="9" spans="1:21">
      <c r="A9" s="152" t="s">
        <v>14</v>
      </c>
      <c r="B9" s="153">
        <v>214</v>
      </c>
      <c r="C9" s="153">
        <v>6</v>
      </c>
      <c r="D9" s="153">
        <v>32</v>
      </c>
      <c r="E9" s="149">
        <v>1850</v>
      </c>
      <c r="F9" s="153">
        <v>899</v>
      </c>
      <c r="G9" s="189">
        <f t="shared" si="0"/>
        <v>3001</v>
      </c>
      <c r="H9" s="149">
        <v>12751</v>
      </c>
      <c r="I9" s="153">
        <v>103</v>
      </c>
      <c r="J9" s="149">
        <v>2622</v>
      </c>
      <c r="K9" s="189">
        <f t="shared" si="1"/>
        <v>15476</v>
      </c>
      <c r="L9" s="153">
        <v>166</v>
      </c>
      <c r="M9" s="153">
        <v>559</v>
      </c>
      <c r="N9" s="153">
        <v>13</v>
      </c>
      <c r="O9" s="198">
        <v>19214</v>
      </c>
      <c r="P9" s="150">
        <f t="shared" si="7"/>
        <v>246</v>
      </c>
      <c r="Q9" s="150">
        <f t="shared" si="2"/>
        <v>2755</v>
      </c>
      <c r="R9" s="191">
        <f t="shared" si="3"/>
        <v>16214</v>
      </c>
      <c r="S9" s="150">
        <f t="shared" si="4"/>
        <v>26939</v>
      </c>
      <c r="T9" s="192">
        <f t="shared" si="5"/>
        <v>2.6928363296497882E-2</v>
      </c>
      <c r="U9" s="191">
        <f t="shared" si="6"/>
        <v>-1</v>
      </c>
    </row>
    <row r="10" spans="1:21">
      <c r="A10" s="152" t="s">
        <v>44</v>
      </c>
      <c r="B10" s="153">
        <v>734</v>
      </c>
      <c r="C10" s="153">
        <v>0</v>
      </c>
      <c r="D10" s="153">
        <v>159</v>
      </c>
      <c r="E10" s="149">
        <v>1688</v>
      </c>
      <c r="F10" s="153">
        <v>867</v>
      </c>
      <c r="G10" s="189">
        <f t="shared" si="0"/>
        <v>3448</v>
      </c>
      <c r="H10" s="149">
        <v>16775</v>
      </c>
      <c r="I10" s="153">
        <v>238</v>
      </c>
      <c r="J10" s="153">
        <v>46</v>
      </c>
      <c r="K10" s="189">
        <f t="shared" si="1"/>
        <v>17059</v>
      </c>
      <c r="L10" s="153">
        <v>171</v>
      </c>
      <c r="M10" s="153">
        <v>488</v>
      </c>
      <c r="N10" s="153">
        <v>27</v>
      </c>
      <c r="O10" s="198">
        <v>21192</v>
      </c>
      <c r="P10" s="150">
        <f t="shared" si="7"/>
        <v>893</v>
      </c>
      <c r="Q10" s="150">
        <f t="shared" si="2"/>
        <v>2555</v>
      </c>
      <c r="R10" s="191">
        <f t="shared" si="3"/>
        <v>17745</v>
      </c>
      <c r="S10" s="150">
        <f t="shared" si="4"/>
        <v>34340</v>
      </c>
      <c r="T10" s="192">
        <f t="shared" si="5"/>
        <v>3.4326441055782968E-2</v>
      </c>
      <c r="U10" s="191">
        <f t="shared" si="6"/>
        <v>-1</v>
      </c>
    </row>
    <row r="11" spans="1:21">
      <c r="A11" s="152" t="s">
        <v>63</v>
      </c>
      <c r="B11" s="153">
        <v>520</v>
      </c>
      <c r="C11" s="153">
        <v>0</v>
      </c>
      <c r="D11" s="153">
        <v>78</v>
      </c>
      <c r="E11" s="149">
        <v>1804</v>
      </c>
      <c r="F11" s="153">
        <v>843</v>
      </c>
      <c r="G11" s="189">
        <f t="shared" si="0"/>
        <v>3245</v>
      </c>
      <c r="H11" s="149">
        <v>15233</v>
      </c>
      <c r="I11" s="153">
        <v>24</v>
      </c>
      <c r="J11" s="153">
        <v>335</v>
      </c>
      <c r="K11" s="189">
        <f t="shared" si="1"/>
        <v>15592</v>
      </c>
      <c r="L11" s="153">
        <v>0</v>
      </c>
      <c r="M11" s="153">
        <v>82</v>
      </c>
      <c r="N11" s="153">
        <v>77</v>
      </c>
      <c r="O11" s="198">
        <v>18997</v>
      </c>
      <c r="P11" s="150">
        <f t="shared" si="7"/>
        <v>598</v>
      </c>
      <c r="Q11" s="150">
        <f t="shared" si="2"/>
        <v>2647</v>
      </c>
      <c r="R11" s="191">
        <f t="shared" si="3"/>
        <v>15751</v>
      </c>
      <c r="S11" s="150">
        <f t="shared" si="4"/>
        <v>29672</v>
      </c>
      <c r="T11" s="192">
        <f t="shared" si="5"/>
        <v>2.9660284187745842E-2</v>
      </c>
      <c r="U11" s="191">
        <f t="shared" si="6"/>
        <v>1</v>
      </c>
    </row>
    <row r="12" spans="1:21">
      <c r="A12" s="152" t="s">
        <v>45</v>
      </c>
      <c r="B12" s="153">
        <v>301</v>
      </c>
      <c r="C12" s="153">
        <v>18</v>
      </c>
      <c r="D12" s="153">
        <v>160</v>
      </c>
      <c r="E12" s="153">
        <v>613</v>
      </c>
      <c r="F12" s="153">
        <v>728</v>
      </c>
      <c r="G12" s="189">
        <f t="shared" si="0"/>
        <v>1820</v>
      </c>
      <c r="H12" s="149">
        <v>12176</v>
      </c>
      <c r="I12" s="153">
        <v>201</v>
      </c>
      <c r="J12" s="153">
        <v>2</v>
      </c>
      <c r="K12" s="189">
        <f t="shared" si="1"/>
        <v>12379</v>
      </c>
      <c r="L12" s="153">
        <v>263</v>
      </c>
      <c r="M12" s="153">
        <v>10</v>
      </c>
      <c r="N12" s="153">
        <v>51</v>
      </c>
      <c r="O12" s="198">
        <v>14521</v>
      </c>
      <c r="P12" s="150">
        <f t="shared" si="7"/>
        <v>461</v>
      </c>
      <c r="Q12" s="150">
        <f t="shared" si="2"/>
        <v>1359</v>
      </c>
      <c r="R12" s="191">
        <f t="shared" si="3"/>
        <v>12703</v>
      </c>
      <c r="S12" s="150">
        <f t="shared" si="4"/>
        <v>21390</v>
      </c>
      <c r="T12" s="192">
        <f t="shared" si="5"/>
        <v>2.1381554286057008E-2</v>
      </c>
      <c r="U12" s="191">
        <f t="shared" si="6"/>
        <v>-2</v>
      </c>
    </row>
    <row r="13" spans="1:21">
      <c r="A13" s="152" t="s">
        <v>74</v>
      </c>
      <c r="B13" s="153">
        <v>454</v>
      </c>
      <c r="C13" s="153">
        <v>20</v>
      </c>
      <c r="D13" s="153">
        <v>109</v>
      </c>
      <c r="E13" s="153">
        <v>467</v>
      </c>
      <c r="F13" s="153">
        <v>258</v>
      </c>
      <c r="G13" s="189">
        <f t="shared" si="0"/>
        <v>1308</v>
      </c>
      <c r="H13" s="149">
        <v>7658</v>
      </c>
      <c r="I13" s="153">
        <v>0</v>
      </c>
      <c r="J13" s="153">
        <v>29</v>
      </c>
      <c r="K13" s="189">
        <f t="shared" si="1"/>
        <v>7687</v>
      </c>
      <c r="L13" s="153">
        <v>0</v>
      </c>
      <c r="M13" s="153">
        <v>79</v>
      </c>
      <c r="N13" s="153">
        <v>145</v>
      </c>
      <c r="O13" s="198">
        <v>9218</v>
      </c>
      <c r="P13" s="150">
        <f t="shared" si="7"/>
        <v>563</v>
      </c>
      <c r="Q13" s="150">
        <f t="shared" si="2"/>
        <v>745</v>
      </c>
      <c r="R13" s="191">
        <f t="shared" si="3"/>
        <v>7911</v>
      </c>
      <c r="S13" s="150">
        <f t="shared" si="4"/>
        <v>15776</v>
      </c>
      <c r="T13" s="192">
        <f t="shared" si="5"/>
        <v>1.576977094047851E-2</v>
      </c>
      <c r="U13" s="191">
        <f t="shared" si="6"/>
        <v>-1</v>
      </c>
    </row>
    <row r="14" spans="1:21">
      <c r="A14" s="152" t="s">
        <v>37</v>
      </c>
      <c r="B14" s="153">
        <v>713</v>
      </c>
      <c r="C14" s="153">
        <v>1</v>
      </c>
      <c r="D14" s="153">
        <v>133</v>
      </c>
      <c r="E14" s="149">
        <v>1404</v>
      </c>
      <c r="F14" s="153">
        <v>328</v>
      </c>
      <c r="G14" s="189">
        <f t="shared" si="0"/>
        <v>2579</v>
      </c>
      <c r="H14" s="149">
        <v>18049</v>
      </c>
      <c r="I14" s="153">
        <v>0</v>
      </c>
      <c r="J14" s="153">
        <v>0</v>
      </c>
      <c r="K14" s="189">
        <f t="shared" si="1"/>
        <v>18049</v>
      </c>
      <c r="L14" s="153">
        <v>0</v>
      </c>
      <c r="M14" s="153">
        <v>584</v>
      </c>
      <c r="N14" s="153">
        <v>45</v>
      </c>
      <c r="O14" s="198">
        <v>21257</v>
      </c>
      <c r="P14" s="150">
        <f t="shared" si="7"/>
        <v>846</v>
      </c>
      <c r="Q14" s="150">
        <f t="shared" si="2"/>
        <v>1733</v>
      </c>
      <c r="R14" s="191">
        <f t="shared" si="3"/>
        <v>18678</v>
      </c>
      <c r="S14" s="150">
        <f t="shared" si="4"/>
        <v>32337</v>
      </c>
      <c r="T14" s="192">
        <f t="shared" si="5"/>
        <v>3.2324231928388285E-2</v>
      </c>
      <c r="U14" s="191">
        <f t="shared" si="6"/>
        <v>0</v>
      </c>
    </row>
    <row r="15" spans="1:21">
      <c r="A15" s="152" t="s">
        <v>38</v>
      </c>
      <c r="B15" s="153">
        <v>369</v>
      </c>
      <c r="C15" s="153">
        <v>16</v>
      </c>
      <c r="D15" s="153">
        <v>113</v>
      </c>
      <c r="E15" s="153">
        <v>230</v>
      </c>
      <c r="F15" s="153">
        <v>113</v>
      </c>
      <c r="G15" s="189">
        <f t="shared" si="0"/>
        <v>841</v>
      </c>
      <c r="H15" s="149">
        <v>7906</v>
      </c>
      <c r="I15" s="153">
        <v>0</v>
      </c>
      <c r="J15" s="153">
        <v>431</v>
      </c>
      <c r="K15" s="189">
        <f t="shared" si="1"/>
        <v>8337</v>
      </c>
      <c r="L15" s="153">
        <v>25</v>
      </c>
      <c r="M15" s="153">
        <v>0</v>
      </c>
      <c r="N15" s="153">
        <v>0</v>
      </c>
      <c r="O15" s="198">
        <v>9201</v>
      </c>
      <c r="P15" s="150">
        <f t="shared" si="7"/>
        <v>482</v>
      </c>
      <c r="Q15" s="150">
        <f t="shared" si="2"/>
        <v>359</v>
      </c>
      <c r="R15" s="191">
        <f t="shared" si="3"/>
        <v>8362</v>
      </c>
      <c r="S15" s="150">
        <f t="shared" si="4"/>
        <v>14259</v>
      </c>
      <c r="T15" s="192">
        <f t="shared" si="5"/>
        <v>1.4253369918882042E-2</v>
      </c>
      <c r="U15" s="191">
        <f t="shared" si="6"/>
        <v>-2</v>
      </c>
    </row>
    <row r="16" spans="1:21">
      <c r="A16" s="152" t="s">
        <v>26</v>
      </c>
      <c r="B16" s="153">
        <v>587</v>
      </c>
      <c r="C16" s="153">
        <v>47</v>
      </c>
      <c r="D16" s="153">
        <v>243</v>
      </c>
      <c r="E16" s="153">
        <v>730</v>
      </c>
      <c r="F16" s="149">
        <v>1143</v>
      </c>
      <c r="G16" s="189">
        <f t="shared" si="0"/>
        <v>2750</v>
      </c>
      <c r="H16" s="149">
        <v>14649</v>
      </c>
      <c r="I16" s="153">
        <v>0</v>
      </c>
      <c r="J16" s="153">
        <v>13</v>
      </c>
      <c r="K16" s="189">
        <f t="shared" si="1"/>
        <v>14662</v>
      </c>
      <c r="L16" s="153">
        <v>17</v>
      </c>
      <c r="M16" s="153">
        <v>55</v>
      </c>
      <c r="N16" s="153">
        <v>162</v>
      </c>
      <c r="O16" s="198">
        <v>17647</v>
      </c>
      <c r="P16" s="150">
        <f t="shared" si="7"/>
        <v>830</v>
      </c>
      <c r="Q16" s="150">
        <f t="shared" si="2"/>
        <v>1920</v>
      </c>
      <c r="R16" s="191">
        <f t="shared" si="3"/>
        <v>14896</v>
      </c>
      <c r="S16" s="150">
        <f t="shared" si="4"/>
        <v>28956</v>
      </c>
      <c r="T16" s="192">
        <f t="shared" si="5"/>
        <v>2.8944566896076052E-2</v>
      </c>
      <c r="U16" s="191">
        <f t="shared" si="6"/>
        <v>1</v>
      </c>
    </row>
    <row r="17" spans="1:21">
      <c r="A17" s="152" t="s">
        <v>15</v>
      </c>
      <c r="B17" s="153">
        <v>538</v>
      </c>
      <c r="C17" s="153">
        <v>0</v>
      </c>
      <c r="D17" s="153">
        <v>145</v>
      </c>
      <c r="E17" s="149">
        <v>2360</v>
      </c>
      <c r="F17" s="153">
        <v>855</v>
      </c>
      <c r="G17" s="189">
        <f t="shared" si="0"/>
        <v>3898</v>
      </c>
      <c r="H17" s="149">
        <v>12106</v>
      </c>
      <c r="I17" s="153">
        <v>0</v>
      </c>
      <c r="J17" s="153">
        <v>77</v>
      </c>
      <c r="K17" s="189">
        <f t="shared" si="1"/>
        <v>12183</v>
      </c>
      <c r="L17" s="153">
        <v>0</v>
      </c>
      <c r="M17" s="153">
        <v>346</v>
      </c>
      <c r="N17" s="153">
        <v>325</v>
      </c>
      <c r="O17" s="198">
        <v>16752</v>
      </c>
      <c r="P17" s="150">
        <f t="shared" si="7"/>
        <v>683</v>
      </c>
      <c r="Q17" s="150">
        <f t="shared" si="2"/>
        <v>3215</v>
      </c>
      <c r="R17" s="191">
        <f t="shared" si="3"/>
        <v>12854</v>
      </c>
      <c r="S17" s="150">
        <f t="shared" si="4"/>
        <v>29329</v>
      </c>
      <c r="T17" s="192">
        <f t="shared" si="5"/>
        <v>2.9317419619250395E-2</v>
      </c>
      <c r="U17" s="191">
        <f t="shared" si="6"/>
        <v>0</v>
      </c>
    </row>
    <row r="18" spans="1:21">
      <c r="A18" s="152" t="s">
        <v>28</v>
      </c>
      <c r="B18" s="149">
        <v>1463</v>
      </c>
      <c r="C18" s="153">
        <v>0</v>
      </c>
      <c r="D18" s="153">
        <v>439</v>
      </c>
      <c r="E18" s="149">
        <v>2880</v>
      </c>
      <c r="F18" s="149">
        <v>1663</v>
      </c>
      <c r="G18" s="189">
        <f t="shared" si="0"/>
        <v>6445</v>
      </c>
      <c r="H18" s="149">
        <v>28062</v>
      </c>
      <c r="I18" s="153">
        <v>0</v>
      </c>
      <c r="J18" s="153">
        <v>274</v>
      </c>
      <c r="K18" s="189">
        <f t="shared" si="1"/>
        <v>28336</v>
      </c>
      <c r="L18" s="153">
        <v>0</v>
      </c>
      <c r="M18" s="153">
        <v>318</v>
      </c>
      <c r="N18" s="153">
        <v>77</v>
      </c>
      <c r="O18" s="198">
        <v>35175</v>
      </c>
      <c r="P18" s="150">
        <f t="shared" si="7"/>
        <v>1902</v>
      </c>
      <c r="Q18" s="150">
        <f t="shared" si="2"/>
        <v>4543</v>
      </c>
      <c r="R18" s="191">
        <f t="shared" si="3"/>
        <v>28731</v>
      </c>
      <c r="S18" s="150">
        <f t="shared" si="4"/>
        <v>61380</v>
      </c>
      <c r="T18" s="192">
        <f t="shared" si="5"/>
        <v>6.1355764473033154E-2</v>
      </c>
      <c r="U18" s="191">
        <f t="shared" si="6"/>
        <v>-1</v>
      </c>
    </row>
    <row r="19" spans="1:21" s="165" customFormat="1">
      <c r="A19" s="152" t="s">
        <v>46</v>
      </c>
      <c r="B19" s="153">
        <v>460</v>
      </c>
      <c r="C19" s="153">
        <v>15</v>
      </c>
      <c r="D19" s="153">
        <v>42</v>
      </c>
      <c r="E19" s="153">
        <v>924</v>
      </c>
      <c r="F19" s="153">
        <v>335</v>
      </c>
      <c r="G19" s="189">
        <f t="shared" si="0"/>
        <v>1776</v>
      </c>
      <c r="H19" s="149">
        <v>7030</v>
      </c>
      <c r="I19" s="153">
        <v>0</v>
      </c>
      <c r="J19" s="153">
        <v>0</v>
      </c>
      <c r="K19" s="189">
        <f t="shared" si="1"/>
        <v>7030</v>
      </c>
      <c r="L19" s="153">
        <v>43</v>
      </c>
      <c r="M19" s="153">
        <v>33</v>
      </c>
      <c r="N19" s="153">
        <v>105</v>
      </c>
      <c r="O19" s="198">
        <v>8988</v>
      </c>
      <c r="P19" s="150">
        <f t="shared" si="7"/>
        <v>502</v>
      </c>
      <c r="Q19" s="150">
        <f t="shared" si="2"/>
        <v>1274</v>
      </c>
      <c r="R19" s="191">
        <f t="shared" si="3"/>
        <v>7211</v>
      </c>
      <c r="S19" s="150">
        <f t="shared" si="4"/>
        <v>16053</v>
      </c>
      <c r="T19" s="192">
        <f t="shared" si="5"/>
        <v>1.604666156868037E-2</v>
      </c>
      <c r="U19" s="191">
        <f t="shared" si="6"/>
        <v>1</v>
      </c>
    </row>
    <row r="20" spans="1:21">
      <c r="A20" s="152" t="s">
        <v>39</v>
      </c>
      <c r="B20" s="153">
        <v>535</v>
      </c>
      <c r="C20" s="153">
        <v>0</v>
      </c>
      <c r="D20" s="153">
        <v>146</v>
      </c>
      <c r="E20" s="149">
        <v>1535</v>
      </c>
      <c r="F20" s="149">
        <v>1064</v>
      </c>
      <c r="G20" s="189">
        <f t="shared" si="0"/>
        <v>3280</v>
      </c>
      <c r="H20" s="149">
        <v>21344</v>
      </c>
      <c r="I20" s="153">
        <v>47</v>
      </c>
      <c r="J20" s="153">
        <v>188</v>
      </c>
      <c r="K20" s="189">
        <f t="shared" si="1"/>
        <v>21579</v>
      </c>
      <c r="L20" s="153">
        <v>0</v>
      </c>
      <c r="M20" s="153">
        <v>295</v>
      </c>
      <c r="N20" s="153">
        <v>97</v>
      </c>
      <c r="O20" s="198">
        <v>25251</v>
      </c>
      <c r="P20" s="150">
        <f t="shared" si="7"/>
        <v>681</v>
      </c>
      <c r="Q20" s="150">
        <f t="shared" si="2"/>
        <v>2599</v>
      </c>
      <c r="R20" s="191">
        <f t="shared" si="3"/>
        <v>21971</v>
      </c>
      <c r="S20" s="150">
        <f t="shared" si="4"/>
        <v>36578</v>
      </c>
      <c r="T20" s="192">
        <f t="shared" si="5"/>
        <v>3.6563557394829041E-2</v>
      </c>
      <c r="U20" s="191">
        <f t="shared" si="6"/>
        <v>0</v>
      </c>
    </row>
    <row r="21" spans="1:21">
      <c r="A21" s="152" t="s">
        <v>258</v>
      </c>
      <c r="B21" s="153">
        <v>607</v>
      </c>
      <c r="C21" s="153">
        <v>18</v>
      </c>
      <c r="D21" s="153">
        <v>544</v>
      </c>
      <c r="E21" s="149">
        <v>2314</v>
      </c>
      <c r="F21" s="149">
        <v>1317</v>
      </c>
      <c r="G21" s="189">
        <f t="shared" si="0"/>
        <v>4800</v>
      </c>
      <c r="H21" s="149">
        <v>21141</v>
      </c>
      <c r="I21" s="153">
        <v>0</v>
      </c>
      <c r="J21" s="153">
        <v>0</v>
      </c>
      <c r="K21" s="189">
        <f t="shared" si="1"/>
        <v>21141</v>
      </c>
      <c r="L21" s="153">
        <v>0</v>
      </c>
      <c r="M21" s="153">
        <v>0</v>
      </c>
      <c r="N21" s="153">
        <v>112</v>
      </c>
      <c r="O21" s="198">
        <v>26054</v>
      </c>
      <c r="P21" s="150">
        <f t="shared" si="7"/>
        <v>1151</v>
      </c>
      <c r="Q21" s="150">
        <f t="shared" si="2"/>
        <v>3649</v>
      </c>
      <c r="R21" s="191">
        <f t="shared" si="3"/>
        <v>21253</v>
      </c>
      <c r="S21" s="150">
        <f t="shared" si="4"/>
        <v>43710</v>
      </c>
      <c r="T21" s="192">
        <f t="shared" si="5"/>
        <v>4.3692741367159969E-2</v>
      </c>
      <c r="U21" s="191">
        <f t="shared" si="6"/>
        <v>1</v>
      </c>
    </row>
    <row r="22" spans="1:21" s="151" customFormat="1" ht="10.5" customHeight="1">
      <c r="A22" s="152" t="s">
        <v>16</v>
      </c>
      <c r="B22" s="153">
        <v>275</v>
      </c>
      <c r="C22" s="153">
        <v>0</v>
      </c>
      <c r="D22" s="153">
        <v>21</v>
      </c>
      <c r="E22" s="153">
        <v>446</v>
      </c>
      <c r="F22" s="153">
        <v>264</v>
      </c>
      <c r="G22" s="189">
        <f t="shared" si="0"/>
        <v>1006</v>
      </c>
      <c r="H22" s="149">
        <v>5238</v>
      </c>
      <c r="I22" s="153">
        <v>274</v>
      </c>
      <c r="J22" s="153">
        <v>0</v>
      </c>
      <c r="K22" s="189">
        <f t="shared" si="1"/>
        <v>5512</v>
      </c>
      <c r="L22" s="153">
        <v>3</v>
      </c>
      <c r="M22" s="153">
        <v>11</v>
      </c>
      <c r="N22" s="153">
        <v>131</v>
      </c>
      <c r="O22" s="198">
        <v>6662</v>
      </c>
      <c r="P22" s="150">
        <f t="shared" si="7"/>
        <v>296</v>
      </c>
      <c r="Q22" s="150">
        <f t="shared" si="2"/>
        <v>710</v>
      </c>
      <c r="R22" s="191">
        <f t="shared" si="3"/>
        <v>5657</v>
      </c>
      <c r="S22" s="150">
        <f t="shared" si="4"/>
        <v>10747</v>
      </c>
      <c r="T22" s="192">
        <f t="shared" si="5"/>
        <v>1.0742756611138601E-2</v>
      </c>
      <c r="U22" s="191">
        <f t="shared" si="6"/>
        <v>-1</v>
      </c>
    </row>
    <row r="23" spans="1:21">
      <c r="A23" s="152" t="s">
        <v>30</v>
      </c>
      <c r="B23" s="153">
        <v>268</v>
      </c>
      <c r="C23" s="153">
        <v>0</v>
      </c>
      <c r="D23" s="153">
        <v>136</v>
      </c>
      <c r="E23" s="153">
        <v>875</v>
      </c>
      <c r="F23" s="149">
        <v>1014</v>
      </c>
      <c r="G23" s="189">
        <f t="shared" si="0"/>
        <v>2293</v>
      </c>
      <c r="H23" s="149">
        <v>7536</v>
      </c>
      <c r="I23" s="153">
        <v>0</v>
      </c>
      <c r="J23" s="153">
        <v>0</v>
      </c>
      <c r="K23" s="189">
        <f t="shared" si="1"/>
        <v>7536</v>
      </c>
      <c r="L23" s="153">
        <v>0</v>
      </c>
      <c r="M23" s="153">
        <v>0</v>
      </c>
      <c r="N23" s="153">
        <v>9</v>
      </c>
      <c r="O23" s="198">
        <v>9838</v>
      </c>
      <c r="P23" s="150">
        <f t="shared" si="7"/>
        <v>404</v>
      </c>
      <c r="Q23" s="150">
        <f t="shared" si="2"/>
        <v>1889</v>
      </c>
      <c r="R23" s="191">
        <f t="shared" si="3"/>
        <v>7545</v>
      </c>
      <c r="S23" s="150">
        <f t="shared" si="4"/>
        <v>17252</v>
      </c>
      <c r="T23" s="192">
        <f t="shared" si="5"/>
        <v>1.724518815068048E-2</v>
      </c>
      <c r="U23" s="191">
        <f t="shared" si="6"/>
        <v>0</v>
      </c>
    </row>
    <row r="24" spans="1:21">
      <c r="A24" s="152" t="s">
        <v>75</v>
      </c>
      <c r="B24" s="153">
        <v>878</v>
      </c>
      <c r="C24" s="153">
        <v>21</v>
      </c>
      <c r="D24" s="153">
        <v>149</v>
      </c>
      <c r="E24" s="153">
        <v>419</v>
      </c>
      <c r="F24" s="153">
        <v>482</v>
      </c>
      <c r="G24" s="189">
        <f t="shared" si="0"/>
        <v>1949</v>
      </c>
      <c r="H24" s="149">
        <v>9470</v>
      </c>
      <c r="I24" s="153">
        <v>0</v>
      </c>
      <c r="J24" s="153">
        <v>238</v>
      </c>
      <c r="K24" s="189">
        <f t="shared" si="1"/>
        <v>9708</v>
      </c>
      <c r="L24" s="153">
        <v>34</v>
      </c>
      <c r="M24" s="153">
        <v>101</v>
      </c>
      <c r="N24" s="153">
        <v>116</v>
      </c>
      <c r="O24" s="198">
        <v>11908</v>
      </c>
      <c r="P24" s="150">
        <f t="shared" si="7"/>
        <v>1027</v>
      </c>
      <c r="Q24" s="150">
        <f t="shared" si="2"/>
        <v>922</v>
      </c>
      <c r="R24" s="191">
        <f t="shared" si="3"/>
        <v>9959</v>
      </c>
      <c r="S24" s="150">
        <f t="shared" si="4"/>
        <v>22995</v>
      </c>
      <c r="T24" s="192">
        <f t="shared" si="5"/>
        <v>2.2985920561378256E-2</v>
      </c>
      <c r="U24" s="191">
        <f t="shared" si="6"/>
        <v>0</v>
      </c>
    </row>
    <row r="25" spans="1:21">
      <c r="A25" s="152" t="s">
        <v>32</v>
      </c>
      <c r="B25" s="153">
        <v>92</v>
      </c>
      <c r="C25" s="153">
        <v>0</v>
      </c>
      <c r="D25" s="153">
        <v>37</v>
      </c>
      <c r="E25" s="153">
        <v>249</v>
      </c>
      <c r="F25" s="153">
        <v>418</v>
      </c>
      <c r="G25" s="189">
        <f t="shared" si="0"/>
        <v>796</v>
      </c>
      <c r="H25" s="149">
        <v>3624</v>
      </c>
      <c r="I25" s="153">
        <v>0</v>
      </c>
      <c r="J25" s="153">
        <v>0</v>
      </c>
      <c r="K25" s="189">
        <f t="shared" si="1"/>
        <v>3624</v>
      </c>
      <c r="L25" s="153">
        <v>11</v>
      </c>
      <c r="M25" s="153">
        <v>22</v>
      </c>
      <c r="N25" s="153">
        <v>4</v>
      </c>
      <c r="O25" s="198">
        <v>4455</v>
      </c>
      <c r="P25" s="150">
        <f t="shared" si="7"/>
        <v>129</v>
      </c>
      <c r="Q25" s="150">
        <f t="shared" si="2"/>
        <v>667</v>
      </c>
      <c r="R25" s="191">
        <f t="shared" si="3"/>
        <v>3661</v>
      </c>
      <c r="S25" s="150">
        <f t="shared" si="4"/>
        <v>6952</v>
      </c>
      <c r="T25" s="192">
        <f t="shared" si="5"/>
        <v>6.9492550442575183E-3</v>
      </c>
      <c r="U25" s="191">
        <f t="shared" si="6"/>
        <v>-2</v>
      </c>
    </row>
    <row r="26" spans="1:21">
      <c r="A26" s="152" t="s">
        <v>60</v>
      </c>
      <c r="B26" s="153">
        <v>139</v>
      </c>
      <c r="C26" s="153">
        <v>2</v>
      </c>
      <c r="D26" s="153">
        <v>66</v>
      </c>
      <c r="E26" s="153">
        <v>620</v>
      </c>
      <c r="F26" s="153">
        <v>533</v>
      </c>
      <c r="G26" s="189">
        <f t="shared" si="0"/>
        <v>1360</v>
      </c>
      <c r="H26" s="149">
        <v>5599</v>
      </c>
      <c r="I26" s="153">
        <v>0</v>
      </c>
      <c r="J26" s="153">
        <v>0</v>
      </c>
      <c r="K26" s="189">
        <f t="shared" si="1"/>
        <v>5599</v>
      </c>
      <c r="L26" s="153">
        <v>10</v>
      </c>
      <c r="M26" s="153">
        <v>76</v>
      </c>
      <c r="N26" s="153">
        <v>36</v>
      </c>
      <c r="O26" s="198">
        <v>7081</v>
      </c>
      <c r="P26" s="150">
        <f t="shared" si="7"/>
        <v>205</v>
      </c>
      <c r="Q26" s="150">
        <f t="shared" si="2"/>
        <v>1155</v>
      </c>
      <c r="R26" s="191">
        <f t="shared" si="3"/>
        <v>5721</v>
      </c>
      <c r="S26" s="150">
        <f t="shared" si="4"/>
        <v>11236</v>
      </c>
      <c r="T26" s="192">
        <f t="shared" si="5"/>
        <v>1.12315635324047E-2</v>
      </c>
      <c r="U26" s="191">
        <f t="shared" si="6"/>
        <v>0</v>
      </c>
    </row>
    <row r="27" spans="1:21">
      <c r="A27" s="152" t="s">
        <v>76</v>
      </c>
      <c r="B27" s="149">
        <v>2093</v>
      </c>
      <c r="C27" s="153">
        <v>87</v>
      </c>
      <c r="D27" s="153">
        <v>634</v>
      </c>
      <c r="E27" s="149">
        <v>1699</v>
      </c>
      <c r="F27" s="149">
        <v>2106</v>
      </c>
      <c r="G27" s="189">
        <f t="shared" si="0"/>
        <v>6619</v>
      </c>
      <c r="H27" s="149">
        <v>22820</v>
      </c>
      <c r="I27" s="153">
        <v>0</v>
      </c>
      <c r="J27" s="153">
        <v>596</v>
      </c>
      <c r="K27" s="189">
        <f t="shared" si="1"/>
        <v>23416</v>
      </c>
      <c r="L27" s="153">
        <v>0</v>
      </c>
      <c r="M27" s="153">
        <v>1</v>
      </c>
      <c r="N27" s="153">
        <v>87</v>
      </c>
      <c r="O27" s="198">
        <v>30125</v>
      </c>
      <c r="P27" s="150">
        <f t="shared" si="7"/>
        <v>2727</v>
      </c>
      <c r="Q27" s="150">
        <f t="shared" si="2"/>
        <v>3892</v>
      </c>
      <c r="R27" s="191">
        <f t="shared" si="3"/>
        <v>23504</v>
      </c>
      <c r="S27" s="150">
        <f t="shared" si="4"/>
        <v>62450</v>
      </c>
      <c r="T27" s="192">
        <f t="shared" si="5"/>
        <v>6.2425341989913986E-2</v>
      </c>
      <c r="U27" s="191">
        <f t="shared" si="6"/>
        <v>2</v>
      </c>
    </row>
    <row r="28" spans="1:21">
      <c r="A28" s="152" t="s">
        <v>77</v>
      </c>
      <c r="B28" s="153">
        <v>345</v>
      </c>
      <c r="C28" s="153">
        <v>10</v>
      </c>
      <c r="D28" s="153">
        <v>132</v>
      </c>
      <c r="E28" s="153">
        <v>459</v>
      </c>
      <c r="F28" s="153">
        <v>576</v>
      </c>
      <c r="G28" s="189">
        <f t="shared" si="0"/>
        <v>1522</v>
      </c>
      <c r="H28" s="149">
        <v>6951</v>
      </c>
      <c r="I28" s="153">
        <v>0</v>
      </c>
      <c r="J28" s="153">
        <v>94</v>
      </c>
      <c r="K28" s="189">
        <f t="shared" si="1"/>
        <v>7045</v>
      </c>
      <c r="L28" s="153">
        <v>14</v>
      </c>
      <c r="M28" s="153">
        <v>33</v>
      </c>
      <c r="N28" s="153">
        <v>94</v>
      </c>
      <c r="O28" s="198">
        <v>8709</v>
      </c>
      <c r="P28" s="150">
        <f t="shared" si="7"/>
        <v>477</v>
      </c>
      <c r="Q28" s="150">
        <f t="shared" si="2"/>
        <v>1045</v>
      </c>
      <c r="R28" s="191">
        <f t="shared" si="3"/>
        <v>7186</v>
      </c>
      <c r="S28" s="150">
        <f t="shared" si="4"/>
        <v>15091</v>
      </c>
      <c r="T28" s="192">
        <f t="shared" si="5"/>
        <v>1.5085041408643586E-2</v>
      </c>
      <c r="U28" s="191">
        <f t="shared" si="6"/>
        <v>1</v>
      </c>
    </row>
    <row r="29" spans="1:21">
      <c r="A29" s="166" t="s">
        <v>78</v>
      </c>
      <c r="B29" s="168">
        <f>1521+B48</f>
        <v>1600</v>
      </c>
      <c r="C29" s="167">
        <v>0</v>
      </c>
      <c r="D29" s="167">
        <f>392+D48</f>
        <v>410</v>
      </c>
      <c r="E29" s="168">
        <f>4021+E48</f>
        <v>4159</v>
      </c>
      <c r="F29" s="167">
        <f>911+F48</f>
        <v>1070</v>
      </c>
      <c r="G29" s="221">
        <f t="shared" si="0"/>
        <v>7239</v>
      </c>
      <c r="H29" s="168">
        <f>20246+H48</f>
        <v>21067</v>
      </c>
      <c r="I29" s="167">
        <v>0</v>
      </c>
      <c r="J29" s="167">
        <v>4</v>
      </c>
      <c r="K29" s="221">
        <f t="shared" si="1"/>
        <v>21071</v>
      </c>
      <c r="L29" s="167">
        <v>0</v>
      </c>
      <c r="M29" s="167">
        <f>548+M48</f>
        <v>554</v>
      </c>
      <c r="N29" s="167">
        <f>82+N48</f>
        <v>83</v>
      </c>
      <c r="O29" s="222">
        <f>27724+O48</f>
        <v>28944</v>
      </c>
      <c r="P29" s="150">
        <f t="shared" si="7"/>
        <v>2010</v>
      </c>
      <c r="Q29" s="150">
        <f t="shared" si="2"/>
        <v>5229</v>
      </c>
      <c r="R29" s="191">
        <f t="shared" si="3"/>
        <v>21708</v>
      </c>
      <c r="S29" s="150">
        <f t="shared" si="4"/>
        <v>57495</v>
      </c>
      <c r="T29" s="192">
        <f t="shared" si="5"/>
        <v>5.7472298442115363E-2</v>
      </c>
      <c r="U29" s="191">
        <f t="shared" si="6"/>
        <v>-3</v>
      </c>
    </row>
    <row r="30" spans="1:21">
      <c r="A30" s="152" t="s">
        <v>79</v>
      </c>
      <c r="B30" s="153">
        <v>538</v>
      </c>
      <c r="C30" s="153">
        <v>0</v>
      </c>
      <c r="D30" s="153">
        <v>238</v>
      </c>
      <c r="E30" s="153">
        <v>572</v>
      </c>
      <c r="F30" s="153">
        <v>445</v>
      </c>
      <c r="G30" s="189">
        <f t="shared" si="0"/>
        <v>1793</v>
      </c>
      <c r="H30" s="149">
        <v>12395</v>
      </c>
      <c r="I30" s="153">
        <v>0</v>
      </c>
      <c r="J30" s="153">
        <v>0</v>
      </c>
      <c r="K30" s="189">
        <f t="shared" si="1"/>
        <v>12395</v>
      </c>
      <c r="L30" s="153">
        <v>900</v>
      </c>
      <c r="M30" s="153">
        <v>313</v>
      </c>
      <c r="N30" s="153">
        <v>16</v>
      </c>
      <c r="O30" s="198">
        <v>15419</v>
      </c>
      <c r="P30" s="150">
        <f t="shared" si="7"/>
        <v>776</v>
      </c>
      <c r="Q30" s="150">
        <f t="shared" si="2"/>
        <v>1017</v>
      </c>
      <c r="R30" s="191">
        <f t="shared" si="3"/>
        <v>13624</v>
      </c>
      <c r="S30" s="150">
        <f t="shared" si="4"/>
        <v>24435</v>
      </c>
      <c r="T30" s="192">
        <f t="shared" si="5"/>
        <v>2.4425351985965543E-2</v>
      </c>
      <c r="U30" s="191">
        <f t="shared" si="6"/>
        <v>2</v>
      </c>
    </row>
    <row r="31" spans="1:21">
      <c r="A31" s="152" t="s">
        <v>80</v>
      </c>
      <c r="B31" s="153">
        <v>0</v>
      </c>
      <c r="C31" s="153">
        <v>0</v>
      </c>
      <c r="D31" s="153">
        <v>0</v>
      </c>
      <c r="E31" s="153">
        <v>7</v>
      </c>
      <c r="F31" s="153">
        <v>24</v>
      </c>
      <c r="G31" s="189">
        <f t="shared" si="0"/>
        <v>31</v>
      </c>
      <c r="H31" s="153">
        <v>282</v>
      </c>
      <c r="I31" s="153">
        <v>0</v>
      </c>
      <c r="J31" s="153">
        <v>0</v>
      </c>
      <c r="K31" s="189">
        <f t="shared" si="1"/>
        <v>282</v>
      </c>
      <c r="L31" s="153">
        <v>0</v>
      </c>
      <c r="M31" s="153">
        <v>0</v>
      </c>
      <c r="N31" s="153">
        <v>0</v>
      </c>
      <c r="O31" s="199">
        <v>313</v>
      </c>
      <c r="P31" s="150">
        <f t="shared" si="7"/>
        <v>0</v>
      </c>
      <c r="Q31" s="150">
        <f t="shared" si="2"/>
        <v>31</v>
      </c>
      <c r="R31" s="191">
        <f t="shared" si="3"/>
        <v>282</v>
      </c>
      <c r="S31" s="150">
        <f t="shared" si="4"/>
        <v>375</v>
      </c>
      <c r="T31" s="192">
        <f t="shared" si="5"/>
        <v>3.7485193348627292E-4</v>
      </c>
      <c r="U31" s="191">
        <f t="shared" si="6"/>
        <v>0</v>
      </c>
    </row>
    <row r="32" spans="1:21">
      <c r="A32" s="152" t="s">
        <v>81</v>
      </c>
      <c r="B32" s="149">
        <v>2188</v>
      </c>
      <c r="C32" s="153">
        <v>17</v>
      </c>
      <c r="D32" s="153">
        <v>485</v>
      </c>
      <c r="E32" s="149">
        <v>1528</v>
      </c>
      <c r="F32" s="153">
        <v>432</v>
      </c>
      <c r="G32" s="189">
        <f t="shared" si="0"/>
        <v>4650</v>
      </c>
      <c r="H32" s="149">
        <v>21727</v>
      </c>
      <c r="I32" s="153">
        <v>0</v>
      </c>
      <c r="J32" s="153">
        <v>456</v>
      </c>
      <c r="K32" s="189">
        <f t="shared" si="1"/>
        <v>22183</v>
      </c>
      <c r="L32" s="153">
        <v>0</v>
      </c>
      <c r="M32" s="153">
        <v>582</v>
      </c>
      <c r="N32" s="153">
        <v>67</v>
      </c>
      <c r="O32" s="198">
        <v>27482</v>
      </c>
      <c r="P32" s="150">
        <f t="shared" si="7"/>
        <v>2673</v>
      </c>
      <c r="Q32" s="150">
        <f t="shared" si="2"/>
        <v>1977</v>
      </c>
      <c r="R32" s="191">
        <f t="shared" si="3"/>
        <v>22832</v>
      </c>
      <c r="S32" s="150">
        <f t="shared" si="4"/>
        <v>55493</v>
      </c>
      <c r="T32" s="192">
        <f t="shared" si="5"/>
        <v>5.5471088919876649E-2</v>
      </c>
      <c r="U32" s="191">
        <f t="shared" si="6"/>
        <v>0</v>
      </c>
    </row>
    <row r="33" spans="1:21">
      <c r="A33" s="152" t="s">
        <v>52</v>
      </c>
      <c r="B33" s="153">
        <v>514</v>
      </c>
      <c r="C33" s="153">
        <v>325</v>
      </c>
      <c r="D33" s="153">
        <v>113</v>
      </c>
      <c r="E33" s="149">
        <v>2440</v>
      </c>
      <c r="F33" s="153">
        <v>638</v>
      </c>
      <c r="G33" s="189">
        <f t="shared" si="0"/>
        <v>4030</v>
      </c>
      <c r="H33" s="149">
        <v>16184</v>
      </c>
      <c r="I33" s="153">
        <v>0</v>
      </c>
      <c r="J33" s="153">
        <v>296</v>
      </c>
      <c r="K33" s="189">
        <f t="shared" si="1"/>
        <v>16480</v>
      </c>
      <c r="L33" s="153">
        <v>103</v>
      </c>
      <c r="M33" s="153">
        <v>100</v>
      </c>
      <c r="N33" s="153">
        <v>44</v>
      </c>
      <c r="O33" s="198">
        <v>20758</v>
      </c>
      <c r="P33" s="150">
        <f t="shared" si="7"/>
        <v>627</v>
      </c>
      <c r="Q33" s="150">
        <f t="shared" si="2"/>
        <v>3403</v>
      </c>
      <c r="R33" s="191">
        <f t="shared" si="3"/>
        <v>16727</v>
      </c>
      <c r="S33" s="150">
        <f t="shared" si="4"/>
        <v>33206</v>
      </c>
      <c r="T33" s="192">
        <f t="shared" si="5"/>
        <v>3.3192888808920476E-2</v>
      </c>
      <c r="U33" s="191">
        <f t="shared" si="6"/>
        <v>1</v>
      </c>
    </row>
    <row r="34" spans="1:21">
      <c r="A34" s="152" t="s">
        <v>41</v>
      </c>
      <c r="B34" s="153">
        <v>104</v>
      </c>
      <c r="C34" s="153">
        <v>40</v>
      </c>
      <c r="D34" s="153">
        <v>28</v>
      </c>
      <c r="E34" s="149">
        <v>1093</v>
      </c>
      <c r="F34" s="153">
        <v>670</v>
      </c>
      <c r="G34" s="189">
        <f t="shared" si="0"/>
        <v>1935</v>
      </c>
      <c r="H34" s="149">
        <v>7501</v>
      </c>
      <c r="I34" s="153">
        <v>219</v>
      </c>
      <c r="J34" s="153">
        <v>153</v>
      </c>
      <c r="K34" s="189">
        <f t="shared" si="1"/>
        <v>7873</v>
      </c>
      <c r="L34" s="153">
        <v>238</v>
      </c>
      <c r="M34" s="153">
        <v>352</v>
      </c>
      <c r="N34" s="153">
        <v>182</v>
      </c>
      <c r="O34" s="198">
        <v>10581</v>
      </c>
      <c r="P34" s="150">
        <f t="shared" si="7"/>
        <v>132</v>
      </c>
      <c r="Q34" s="150">
        <f t="shared" si="2"/>
        <v>1803</v>
      </c>
      <c r="R34" s="191">
        <f t="shared" si="3"/>
        <v>8645</v>
      </c>
      <c r="S34" s="150">
        <f t="shared" si="4"/>
        <v>15374</v>
      </c>
      <c r="T34" s="192">
        <f t="shared" si="5"/>
        <v>1.5367929667781227E-2</v>
      </c>
      <c r="U34" s="191">
        <f t="shared" si="6"/>
        <v>1</v>
      </c>
    </row>
    <row r="35" spans="1:21">
      <c r="A35" s="152" t="s">
        <v>82</v>
      </c>
      <c r="B35" s="149">
        <v>2012</v>
      </c>
      <c r="C35" s="153">
        <v>0</v>
      </c>
      <c r="D35" s="153">
        <v>488</v>
      </c>
      <c r="E35" s="149">
        <v>1846</v>
      </c>
      <c r="F35" s="153">
        <v>615</v>
      </c>
      <c r="G35" s="189">
        <f t="shared" si="0"/>
        <v>4961</v>
      </c>
      <c r="H35" s="149">
        <v>25692</v>
      </c>
      <c r="I35" s="153">
        <v>0</v>
      </c>
      <c r="J35" s="153">
        <v>263</v>
      </c>
      <c r="K35" s="189">
        <f t="shared" si="1"/>
        <v>25955</v>
      </c>
      <c r="L35" s="153">
        <v>46</v>
      </c>
      <c r="M35" s="153">
        <v>380</v>
      </c>
      <c r="N35" s="153">
        <v>392</v>
      </c>
      <c r="O35" s="198">
        <v>31733</v>
      </c>
      <c r="P35" s="150">
        <f t="shared" si="7"/>
        <v>2500</v>
      </c>
      <c r="Q35" s="150">
        <f t="shared" si="2"/>
        <v>2461</v>
      </c>
      <c r="R35" s="191">
        <f t="shared" si="3"/>
        <v>26773</v>
      </c>
      <c r="S35" s="150">
        <f t="shared" si="4"/>
        <v>59156</v>
      </c>
      <c r="T35" s="192">
        <f t="shared" si="5"/>
        <v>5.9132642606170564E-2</v>
      </c>
      <c r="U35" s="191">
        <f t="shared" si="6"/>
        <v>-1</v>
      </c>
    </row>
    <row r="36" spans="1:21">
      <c r="A36" s="162" t="s">
        <v>54</v>
      </c>
      <c r="B36" s="163">
        <f>507+B49</f>
        <v>517</v>
      </c>
      <c r="C36" s="163">
        <v>1</v>
      </c>
      <c r="D36" s="163">
        <f>133+D49</f>
        <v>139</v>
      </c>
      <c r="E36" s="163">
        <f>133+E49</f>
        <v>146</v>
      </c>
      <c r="F36" s="163">
        <f>184+F49</f>
        <v>226</v>
      </c>
      <c r="G36" s="190">
        <f t="shared" si="0"/>
        <v>1029</v>
      </c>
      <c r="H36" s="164">
        <f>8950+H49</f>
        <v>9190</v>
      </c>
      <c r="I36" s="163">
        <v>0</v>
      </c>
      <c r="J36" s="163">
        <f>68+J49</f>
        <v>564</v>
      </c>
      <c r="K36" s="190">
        <f t="shared" si="1"/>
        <v>9754</v>
      </c>
      <c r="L36" s="163">
        <v>96</v>
      </c>
      <c r="M36" s="163">
        <v>6</v>
      </c>
      <c r="N36" s="163">
        <v>89</v>
      </c>
      <c r="O36" s="200">
        <f>10166+O49</f>
        <v>10973</v>
      </c>
      <c r="P36" s="150">
        <f t="shared" si="7"/>
        <v>656</v>
      </c>
      <c r="Q36" s="150">
        <f t="shared" si="2"/>
        <v>373</v>
      </c>
      <c r="R36" s="191">
        <f t="shared" si="3"/>
        <v>9945</v>
      </c>
      <c r="S36" s="150">
        <f t="shared" si="4"/>
        <v>17624</v>
      </c>
      <c r="T36" s="192">
        <f t="shared" si="5"/>
        <v>1.7617041268698865E-2</v>
      </c>
      <c r="U36" s="191">
        <f t="shared" si="6"/>
        <v>-1</v>
      </c>
    </row>
    <row r="37" spans="1:21">
      <c r="A37" s="152" t="s">
        <v>21</v>
      </c>
      <c r="B37" s="153">
        <v>488</v>
      </c>
      <c r="C37" s="153">
        <v>0</v>
      </c>
      <c r="D37" s="153">
        <v>120</v>
      </c>
      <c r="E37" s="149">
        <v>2518</v>
      </c>
      <c r="F37" s="149">
        <v>1443</v>
      </c>
      <c r="G37" s="189">
        <f t="shared" si="0"/>
        <v>4569</v>
      </c>
      <c r="H37" s="149">
        <v>14795</v>
      </c>
      <c r="I37" s="153">
        <v>0</v>
      </c>
      <c r="J37" s="153">
        <v>36</v>
      </c>
      <c r="K37" s="189">
        <f t="shared" si="1"/>
        <v>14831</v>
      </c>
      <c r="L37" s="153">
        <v>111</v>
      </c>
      <c r="M37" s="153">
        <v>56</v>
      </c>
      <c r="N37" s="153">
        <v>137</v>
      </c>
      <c r="O37" s="198">
        <v>19705</v>
      </c>
      <c r="P37" s="150">
        <f t="shared" si="7"/>
        <v>608</v>
      </c>
      <c r="Q37" s="150">
        <f t="shared" si="2"/>
        <v>3961</v>
      </c>
      <c r="R37" s="191">
        <f t="shared" si="3"/>
        <v>15135</v>
      </c>
      <c r="S37" s="150">
        <f t="shared" si="4"/>
        <v>33098</v>
      </c>
      <c r="T37" s="192">
        <f t="shared" si="5"/>
        <v>3.308493145207643E-2</v>
      </c>
      <c r="U37" s="191">
        <f t="shared" si="6"/>
        <v>1</v>
      </c>
    </row>
    <row r="38" spans="1:21" s="165" customFormat="1">
      <c r="A38" s="152" t="s">
        <v>42</v>
      </c>
      <c r="B38" s="153">
        <v>18</v>
      </c>
      <c r="C38" s="153">
        <v>0</v>
      </c>
      <c r="D38" s="153">
        <v>10</v>
      </c>
      <c r="E38" s="153">
        <v>102</v>
      </c>
      <c r="F38" s="153">
        <v>20</v>
      </c>
      <c r="G38" s="189">
        <f t="shared" si="0"/>
        <v>150</v>
      </c>
      <c r="H38" s="149">
        <v>2172</v>
      </c>
      <c r="I38" s="153">
        <v>0</v>
      </c>
      <c r="J38" s="153">
        <v>0</v>
      </c>
      <c r="K38" s="189">
        <f t="shared" si="1"/>
        <v>2172</v>
      </c>
      <c r="L38" s="153">
        <v>0</v>
      </c>
      <c r="M38" s="153">
        <v>21</v>
      </c>
      <c r="N38" s="153">
        <v>4</v>
      </c>
      <c r="O38" s="198">
        <v>2346</v>
      </c>
      <c r="P38" s="150">
        <f t="shared" si="7"/>
        <v>28</v>
      </c>
      <c r="Q38" s="150">
        <f t="shared" si="2"/>
        <v>122</v>
      </c>
      <c r="R38" s="191">
        <f t="shared" si="3"/>
        <v>2197</v>
      </c>
      <c r="S38" s="150">
        <f t="shared" si="4"/>
        <v>2843</v>
      </c>
      <c r="T38" s="192">
        <f t="shared" si="5"/>
        <v>2.8418774584039303E-3</v>
      </c>
      <c r="U38" s="191">
        <f t="shared" si="6"/>
        <v>-1</v>
      </c>
    </row>
    <row r="39" spans="1:21">
      <c r="A39" s="152" t="s">
        <v>83</v>
      </c>
      <c r="B39" s="149">
        <v>1052</v>
      </c>
      <c r="C39" s="153">
        <v>0</v>
      </c>
      <c r="D39" s="153">
        <v>269</v>
      </c>
      <c r="E39" s="153">
        <v>552</v>
      </c>
      <c r="F39" s="153">
        <v>357</v>
      </c>
      <c r="G39" s="189">
        <f t="shared" si="0"/>
        <v>2230</v>
      </c>
      <c r="H39" s="149">
        <v>10356</v>
      </c>
      <c r="I39" s="153">
        <v>0</v>
      </c>
      <c r="J39" s="153">
        <v>19</v>
      </c>
      <c r="K39" s="189">
        <f t="shared" si="1"/>
        <v>10375</v>
      </c>
      <c r="L39" s="153">
        <v>30</v>
      </c>
      <c r="M39" s="153">
        <v>2</v>
      </c>
      <c r="N39" s="153">
        <v>120</v>
      </c>
      <c r="O39" s="198">
        <v>12757</v>
      </c>
      <c r="P39" s="150">
        <f t="shared" si="7"/>
        <v>1321</v>
      </c>
      <c r="Q39" s="150">
        <f t="shared" si="2"/>
        <v>909</v>
      </c>
      <c r="R39" s="191">
        <f t="shared" si="3"/>
        <v>10527</v>
      </c>
      <c r="S39" s="150">
        <f t="shared" si="4"/>
        <v>26464</v>
      </c>
      <c r="T39" s="192">
        <f t="shared" si="5"/>
        <v>2.6453550847415273E-2</v>
      </c>
      <c r="U39" s="191">
        <f t="shared" si="6"/>
        <v>0</v>
      </c>
    </row>
    <row r="40" spans="1:21">
      <c r="A40" s="152" t="s">
        <v>22</v>
      </c>
      <c r="B40" s="153">
        <v>506</v>
      </c>
      <c r="C40" s="153">
        <v>1</v>
      </c>
      <c r="D40" s="153">
        <v>169</v>
      </c>
      <c r="E40" s="149">
        <v>1741</v>
      </c>
      <c r="F40" s="149">
        <v>1142</v>
      </c>
      <c r="G40" s="189">
        <f t="shared" si="0"/>
        <v>3559</v>
      </c>
      <c r="H40" s="149">
        <v>21144</v>
      </c>
      <c r="I40" s="153">
        <v>0</v>
      </c>
      <c r="J40" s="153">
        <v>106</v>
      </c>
      <c r="K40" s="189">
        <f t="shared" si="1"/>
        <v>21250</v>
      </c>
      <c r="L40" s="153">
        <v>105</v>
      </c>
      <c r="M40" s="153">
        <v>462</v>
      </c>
      <c r="N40" s="153">
        <v>25</v>
      </c>
      <c r="O40" s="198">
        <v>25400</v>
      </c>
      <c r="P40" s="150">
        <f t="shared" si="7"/>
        <v>675</v>
      </c>
      <c r="Q40" s="150">
        <f t="shared" si="2"/>
        <v>2884</v>
      </c>
      <c r="R40" s="191">
        <f t="shared" si="3"/>
        <v>21842</v>
      </c>
      <c r="S40" s="150">
        <f t="shared" si="4"/>
        <v>37244</v>
      </c>
      <c r="T40" s="192">
        <f t="shared" si="5"/>
        <v>3.7229294428700661E-2</v>
      </c>
      <c r="U40" s="191">
        <f t="shared" si="6"/>
        <v>-1</v>
      </c>
    </row>
    <row r="41" spans="1:21">
      <c r="A41" s="152" t="s">
        <v>23</v>
      </c>
      <c r="B41" s="153">
        <v>607</v>
      </c>
      <c r="C41" s="153">
        <v>0</v>
      </c>
      <c r="D41" s="153">
        <v>98</v>
      </c>
      <c r="E41" s="149">
        <v>1545</v>
      </c>
      <c r="F41" s="153">
        <v>495</v>
      </c>
      <c r="G41" s="189">
        <f t="shared" si="0"/>
        <v>2745</v>
      </c>
      <c r="H41" s="149">
        <v>8780</v>
      </c>
      <c r="I41" s="153">
        <v>0</v>
      </c>
      <c r="J41" s="153">
        <v>5</v>
      </c>
      <c r="K41" s="189">
        <f t="shared" si="1"/>
        <v>8785</v>
      </c>
      <c r="L41" s="153">
        <v>105</v>
      </c>
      <c r="M41" s="153">
        <v>244</v>
      </c>
      <c r="N41" s="153">
        <v>7</v>
      </c>
      <c r="O41" s="198">
        <v>11886</v>
      </c>
      <c r="P41" s="150">
        <f t="shared" si="7"/>
        <v>705</v>
      </c>
      <c r="Q41" s="150">
        <f t="shared" si="2"/>
        <v>2040</v>
      </c>
      <c r="R41" s="191">
        <f t="shared" si="3"/>
        <v>9141</v>
      </c>
      <c r="S41" s="150">
        <f t="shared" si="4"/>
        <v>22311</v>
      </c>
      <c r="T41" s="192">
        <f t="shared" si="5"/>
        <v>2.2302190634699293E-2</v>
      </c>
      <c r="U41" s="191">
        <f t="shared" si="6"/>
        <v>0</v>
      </c>
    </row>
    <row r="42" spans="1:21">
      <c r="A42" s="152" t="s">
        <v>259</v>
      </c>
      <c r="B42" s="153">
        <v>294</v>
      </c>
      <c r="C42" s="153">
        <v>10</v>
      </c>
      <c r="D42" s="153">
        <v>79</v>
      </c>
      <c r="E42" s="149">
        <v>1164</v>
      </c>
      <c r="F42" s="153">
        <v>700</v>
      </c>
      <c r="G42" s="189">
        <f t="shared" si="0"/>
        <v>2247</v>
      </c>
      <c r="H42" s="149">
        <v>11056</v>
      </c>
      <c r="I42" s="153">
        <v>0</v>
      </c>
      <c r="J42" s="153">
        <v>49</v>
      </c>
      <c r="K42" s="189">
        <f t="shared" si="1"/>
        <v>11105</v>
      </c>
      <c r="L42" s="153">
        <v>46</v>
      </c>
      <c r="M42" s="153">
        <v>65</v>
      </c>
      <c r="N42" s="153">
        <v>10</v>
      </c>
      <c r="O42" s="198">
        <v>13473</v>
      </c>
      <c r="P42" s="150">
        <f t="shared" si="7"/>
        <v>373</v>
      </c>
      <c r="Q42" s="150">
        <f t="shared" si="2"/>
        <v>1874</v>
      </c>
      <c r="R42" s="191">
        <f t="shared" si="3"/>
        <v>11226</v>
      </c>
      <c r="S42" s="150">
        <f t="shared" si="4"/>
        <v>20578</v>
      </c>
      <c r="T42" s="192">
        <f t="shared" si="5"/>
        <v>2.0569874899414732E-2</v>
      </c>
      <c r="U42" s="191">
        <f t="shared" si="6"/>
        <v>0</v>
      </c>
    </row>
    <row r="43" spans="1:21" ht="12" thickBot="1">
      <c r="A43" s="407" t="s">
        <v>10</v>
      </c>
      <c r="B43" s="212">
        <f>SUM(B4:B42)</f>
        <v>23458</v>
      </c>
      <c r="C43" s="212">
        <f>SUM(C4:C42)</f>
        <v>680</v>
      </c>
      <c r="D43" s="212">
        <f>SUM(D4:D42)</f>
        <v>6336</v>
      </c>
      <c r="E43" s="212">
        <f>SUM(E4:E42)</f>
        <v>45464</v>
      </c>
      <c r="F43" s="212">
        <f>SUM(F4:F42)</f>
        <v>26684</v>
      </c>
      <c r="G43" s="404">
        <f t="shared" si="0"/>
        <v>102622</v>
      </c>
      <c r="H43" s="213">
        <f>SUM(H4:H42)</f>
        <v>463026</v>
      </c>
      <c r="I43" s="213">
        <f>SUM(I4:I42)</f>
        <v>1134</v>
      </c>
      <c r="J43" s="213">
        <f>SUM(J4:J42)</f>
        <v>7277</v>
      </c>
      <c r="K43" s="404">
        <f t="shared" si="1"/>
        <v>471437</v>
      </c>
      <c r="L43" s="212">
        <f t="shared" ref="L43:T43" si="8">SUM(L4:L42)</f>
        <v>2953</v>
      </c>
      <c r="M43" s="212">
        <f t="shared" si="8"/>
        <v>6485</v>
      </c>
      <c r="N43" s="212">
        <f t="shared" si="8"/>
        <v>3096</v>
      </c>
      <c r="O43" s="403">
        <f t="shared" si="8"/>
        <v>586584</v>
      </c>
      <c r="P43" s="213">
        <f t="shared" si="8"/>
        <v>29794</v>
      </c>
      <c r="Q43" s="213">
        <f t="shared" si="8"/>
        <v>72828</v>
      </c>
      <c r="R43" s="213">
        <f t="shared" si="8"/>
        <v>483971</v>
      </c>
      <c r="S43" s="213">
        <f t="shared" si="8"/>
        <v>1000395</v>
      </c>
      <c r="T43" s="214">
        <f t="shared" si="8"/>
        <v>1.0000000000000002</v>
      </c>
      <c r="U43" s="191"/>
    </row>
    <row r="44" spans="1:21">
      <c r="A44" s="269"/>
      <c r="B44" s="153"/>
      <c r="C44" s="153"/>
      <c r="D44" s="153"/>
      <c r="E44" s="149"/>
      <c r="F44" s="153"/>
      <c r="G44" s="149"/>
      <c r="H44" s="149"/>
      <c r="I44" s="153"/>
      <c r="J44" s="153"/>
      <c r="K44" s="149"/>
      <c r="L44" s="153"/>
      <c r="M44" s="153"/>
      <c r="N44" s="153"/>
      <c r="O44" s="149"/>
    </row>
    <row r="45" spans="1:21">
      <c r="A45" s="280"/>
    </row>
    <row r="46" spans="1:21">
      <c r="A46" s="148" t="s">
        <v>260</v>
      </c>
    </row>
    <row r="47" spans="1:21">
      <c r="A47" s="155" t="s">
        <v>266</v>
      </c>
      <c r="B47" s="155"/>
    </row>
    <row r="48" spans="1:21" s="169" customFormat="1">
      <c r="A48" s="166" t="s">
        <v>246</v>
      </c>
      <c r="B48" s="167">
        <v>79</v>
      </c>
      <c r="C48" s="167">
        <v>0</v>
      </c>
      <c r="D48" s="167">
        <v>18</v>
      </c>
      <c r="E48" s="167">
        <v>138</v>
      </c>
      <c r="F48" s="167">
        <v>159</v>
      </c>
      <c r="G48" s="168">
        <f>SUM(B48:F48)</f>
        <v>394</v>
      </c>
      <c r="H48" s="167">
        <v>821</v>
      </c>
      <c r="I48" s="167">
        <v>0</v>
      </c>
      <c r="J48" s="167">
        <v>0</v>
      </c>
      <c r="K48" s="168">
        <f>SUM(H48:J48)</f>
        <v>821</v>
      </c>
      <c r="L48" s="167">
        <v>0</v>
      </c>
      <c r="M48" s="167">
        <v>6</v>
      </c>
      <c r="N48" s="167">
        <v>1</v>
      </c>
      <c r="O48" s="168">
        <v>1220</v>
      </c>
    </row>
    <row r="49" spans="1:15" s="165" customFormat="1">
      <c r="A49" s="162" t="s">
        <v>240</v>
      </c>
      <c r="B49" s="163">
        <v>10</v>
      </c>
      <c r="C49" s="163">
        <v>0</v>
      </c>
      <c r="D49" s="163">
        <v>6</v>
      </c>
      <c r="E49" s="163">
        <v>13</v>
      </c>
      <c r="F49" s="163">
        <v>42</v>
      </c>
      <c r="G49" s="164">
        <f>SUM(B49:F49)</f>
        <v>71</v>
      </c>
      <c r="H49" s="163">
        <v>240</v>
      </c>
      <c r="I49" s="163">
        <v>0</v>
      </c>
      <c r="J49" s="163">
        <v>496</v>
      </c>
      <c r="K49" s="164">
        <f>SUM(H49:J49)</f>
        <v>736</v>
      </c>
      <c r="L49" s="163">
        <v>0</v>
      </c>
      <c r="M49" s="163">
        <v>0</v>
      </c>
      <c r="N49" s="163">
        <v>0</v>
      </c>
      <c r="O49" s="163">
        <v>807</v>
      </c>
    </row>
  </sheetData>
  <autoFilter ref="A3:U3" xr:uid="{00000000-0009-0000-0000-000007000000}">
    <sortState xmlns:xlrd2="http://schemas.microsoft.com/office/spreadsheetml/2017/richdata2" ref="A4:U42">
      <sortCondition ref="A3"/>
    </sortState>
  </autoFilter>
  <hyperlinks>
    <hyperlink ref="A1" location="Index!A1" display="&lt; Back to Index &gt;" xr:uid="{00000000-0004-0000-0700-000000000000}"/>
    <hyperlink ref="D1" location="'Ave weight 1996-2013'!A1" display="Ave weight 1996-2013" xr:uid="{00000000-0004-0000-0700-000001000000}"/>
    <hyperlink ref="U1" location="'Ave weight 1996-2013'!A1" display="Ave weight 1996-2013" xr:uid="{00000000-0004-0000-0700-000002000000}"/>
  </hyperlinks>
  <pageMargins left="0.2" right="0.2" top="0.72" bottom="0.62" header="0.5" footer="0.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Index</vt:lpstr>
      <vt:lpstr>Ave weight 2019-2020</vt:lpstr>
      <vt:lpstr>Ave weight 2018-2019</vt:lpstr>
      <vt:lpstr>DEEWR2010Table4.1</vt:lpstr>
      <vt:lpstr>NZ EFT08-2011</vt:lpstr>
      <vt:lpstr>NZ EFT.35 2006-13</vt:lpstr>
      <vt:lpstr>EFT2006-13(NZ)</vt:lpstr>
      <vt:lpstr>Tbl 9 1996</vt:lpstr>
      <vt:lpstr>Tbl 49 2001</vt:lpstr>
      <vt:lpstr>Tbl 37 2002</vt:lpstr>
      <vt:lpstr>Tbl 35 2003</vt:lpstr>
      <vt:lpstr>Tbl 35 2004</vt:lpstr>
      <vt:lpstr>Tbl 35 2005</vt:lpstr>
      <vt:lpstr>Tbl 35 2006</vt:lpstr>
      <vt:lpstr>Tbl 35 2007</vt:lpstr>
      <vt:lpstr>Tbl 35 2008</vt:lpstr>
      <vt:lpstr>Tbl 4.1 2009</vt:lpstr>
      <vt:lpstr>Table 4.1 2010</vt:lpstr>
      <vt:lpstr>Table 4.1 2011</vt:lpstr>
      <vt:lpstr>Table 4.1 2012 </vt:lpstr>
      <vt:lpstr>Table 4.1 2013</vt:lpstr>
      <vt:lpstr>Table 4.1 2016</vt:lpstr>
      <vt:lpstr>Table 4.1 2017</vt:lpstr>
      <vt:lpstr>Table 4.1 2018</vt:lpstr>
      <vt:lpstr>Table 4.1 2019</vt:lpstr>
      <vt:lpstr>Table 4.1 2020</vt:lpstr>
      <vt:lpstr>DEEWR2010Table4.1!Print_Area</vt:lpstr>
      <vt:lpstr>'Table 4.1 2010'!Print_Area</vt:lpstr>
      <vt:lpstr>'Table 4.1 2011'!Print_Area</vt:lpstr>
      <vt:lpstr>'Table 4.1 2012 '!Print_Area</vt:lpstr>
      <vt:lpstr>'Table 4.1 2013'!Print_Area</vt:lpstr>
      <vt:lpstr>'Table 4.1 2016'!Print_Area</vt:lpstr>
      <vt:lpstr>'Table 4.1 2017'!Print_Area</vt:lpstr>
      <vt:lpstr>'Table 4.1 2018'!Print_Area</vt:lpstr>
      <vt:lpstr>'Tbl 35 2003'!Print_Area</vt:lpstr>
      <vt:lpstr>'Tbl 35 2004'!Print_Area</vt:lpstr>
      <vt:lpstr>'Tbl 35 2005'!Print_Area</vt:lpstr>
      <vt:lpstr>'Tbl 37 2002'!Print_Area</vt:lpstr>
      <vt:lpstr>'Tbl 4.1 2009'!Print_Area</vt:lpstr>
      <vt:lpstr>'Tbl 49 2001'!Print_Area</vt:lpstr>
      <vt:lpstr>DEEWR2010Table4.1!Print_Titles</vt:lpstr>
      <vt:lpstr>'Table 4.1 2010'!Print_Titles</vt:lpstr>
      <vt:lpstr>'Table 4.1 2011'!Print_Titles</vt:lpstr>
      <vt:lpstr>'Table 4.1 2012 '!Print_Titles</vt:lpstr>
      <vt:lpstr>'Table 4.1 2013'!Print_Titles</vt:lpstr>
      <vt:lpstr>'Table 4.1 2016'!Print_Titles</vt:lpstr>
      <vt:lpstr>'Table 4.1 2017'!Print_Titles</vt:lpstr>
      <vt:lpstr>'Table 4.1 2018'!Print_Titles</vt:lpstr>
      <vt:lpstr>'Tbl 4.1 2009'!Print_Titles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Alisha Ashley</cp:lastModifiedBy>
  <cp:lastPrinted>2011-09-08T07:47:50Z</cp:lastPrinted>
  <dcterms:created xsi:type="dcterms:W3CDTF">2010-06-30T02:29:32Z</dcterms:created>
  <dcterms:modified xsi:type="dcterms:W3CDTF">2022-04-28T07:47:43Z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igenous">
    <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Youth">
    <vt:lpwstr/>
  </property>
  <property fmtid="{D5CDD505-2E9C-101B-9397-08002B2CF9AE}" pid="9" name="WorkplaceRelations">
    <vt:lpwstr/>
  </property>
  <property fmtid="{D5CDD505-2E9C-101B-9397-08002B2CF9AE}" pid="10" name="TheDepartment">
    <vt:lpwstr/>
  </property>
  <property fmtid="{D5CDD505-2E9C-101B-9397-08002B2CF9AE}" pid="11" name="International">
    <vt:lpwstr/>
  </property>
  <property fmtid="{D5CDD505-2E9C-101B-9397-08002B2CF9AE}" pid="12" name="Skills">
    <vt:lpwstr/>
  </property>
  <property fmtid="{D5CDD505-2E9C-101B-9397-08002B2CF9AE}" pid="13" name="Employment">
    <vt:lpwstr/>
  </property>
  <property fmtid="{D5CDD505-2E9C-101B-9397-08002B2CF9AE}" pid="14" name="EarlyChildhood">
    <vt:lpwstr/>
  </property>
  <property fmtid="{D5CDD505-2E9C-101B-9397-08002B2CF9AE}" pid="15" name="Schooling">
    <vt:lpwstr/>
  </property>
  <property fmtid="{D5CDD505-2E9C-101B-9397-08002B2CF9AE}" pid="16" name="HigherEducation">
    <vt:lpwstr>1</vt:lpwstr>
  </property>
</Properties>
</file>